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https://d.docs.live.net/bba586143454858f/The Oscar Project/"/>
    </mc:Choice>
  </mc:AlternateContent>
  <bookViews>
    <workbookView xWindow="0" yWindow="0" windowWidth="14340" windowHeight="4980"/>
  </bookViews>
  <sheets>
    <sheet name="Introduction" sheetId="104" r:id="rId1"/>
    <sheet name="2017 Nominees" sheetId="93"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93" l="1"/>
  <c r="O19" i="93"/>
  <c r="O18" i="93"/>
  <c r="O10" i="93"/>
  <c r="O9" i="93"/>
  <c r="L10" i="93"/>
  <c r="I10" i="93"/>
  <c r="I9" i="93"/>
  <c r="F14" i="93"/>
  <c r="F40" i="93"/>
  <c r="C62" i="93"/>
  <c r="A62" i="93"/>
  <c r="F57" i="93"/>
  <c r="O55" i="93"/>
  <c r="L55" i="93"/>
  <c r="I54" i="93"/>
  <c r="F56" i="93"/>
  <c r="O54" i="93"/>
  <c r="L54" i="93"/>
  <c r="I53" i="93"/>
  <c r="F55" i="93"/>
  <c r="O53" i="93"/>
  <c r="L53" i="93"/>
  <c r="I52" i="93"/>
  <c r="F54" i="93"/>
  <c r="O52" i="93"/>
  <c r="L52" i="93"/>
  <c r="I51" i="93"/>
  <c r="F53" i="93"/>
  <c r="O51" i="93"/>
  <c r="O56" i="93" s="1"/>
  <c r="L51" i="93"/>
  <c r="I50" i="93"/>
  <c r="F48" i="93"/>
  <c r="O46" i="93"/>
  <c r="L46" i="93"/>
  <c r="I45" i="93"/>
  <c r="F47" i="93"/>
  <c r="O45" i="93"/>
  <c r="L45" i="93"/>
  <c r="I44" i="93"/>
  <c r="F46" i="93"/>
  <c r="F49" i="93" s="1"/>
  <c r="O44" i="93"/>
  <c r="L44" i="93"/>
  <c r="I43" i="93"/>
  <c r="O43" i="93"/>
  <c r="L43" i="93"/>
  <c r="I42" i="93"/>
  <c r="O42" i="93"/>
  <c r="L42" i="93"/>
  <c r="I41" i="93"/>
  <c r="F39" i="93"/>
  <c r="F38" i="93"/>
  <c r="O37" i="93"/>
  <c r="L37" i="93"/>
  <c r="I36" i="93"/>
  <c r="F37" i="93"/>
  <c r="O36" i="93"/>
  <c r="L36" i="93"/>
  <c r="I35" i="93"/>
  <c r="O35" i="93"/>
  <c r="L35" i="93"/>
  <c r="I34" i="93"/>
  <c r="O34" i="93"/>
  <c r="L34" i="93"/>
  <c r="I33" i="93"/>
  <c r="O33" i="93"/>
  <c r="L33" i="93"/>
  <c r="I32" i="93"/>
  <c r="F32" i="93"/>
  <c r="F31" i="93"/>
  <c r="F30" i="93"/>
  <c r="F29" i="93"/>
  <c r="O28" i="93"/>
  <c r="L28" i="93"/>
  <c r="I27" i="93"/>
  <c r="F28" i="93"/>
  <c r="O27" i="93"/>
  <c r="L27" i="93"/>
  <c r="I26" i="93"/>
  <c r="O26" i="93"/>
  <c r="L26" i="93"/>
  <c r="I25" i="93"/>
  <c r="O25" i="93"/>
  <c r="L25" i="93"/>
  <c r="I24" i="93"/>
  <c r="O24" i="93"/>
  <c r="L24" i="93"/>
  <c r="I23" i="93"/>
  <c r="F23" i="93"/>
  <c r="F22" i="93"/>
  <c r="F21" i="93"/>
  <c r="F20" i="93"/>
  <c r="L19" i="93"/>
  <c r="I18" i="93"/>
  <c r="F19" i="93"/>
  <c r="O17" i="93"/>
  <c r="L18" i="93"/>
  <c r="I17" i="93"/>
  <c r="O16" i="93"/>
  <c r="L17" i="93"/>
  <c r="O15" i="93"/>
  <c r="L16" i="93"/>
  <c r="I16" i="93"/>
  <c r="L15" i="93"/>
  <c r="I15" i="93"/>
  <c r="F13" i="93"/>
  <c r="F12" i="93"/>
  <c r="F11" i="93"/>
  <c r="O8" i="93"/>
  <c r="L9" i="93"/>
  <c r="F10" i="93"/>
  <c r="L8" i="93"/>
  <c r="I8" i="93"/>
  <c r="F9" i="93"/>
  <c r="O7" i="93"/>
  <c r="F8" i="93"/>
  <c r="L7" i="93"/>
  <c r="I7" i="93"/>
  <c r="F7" i="93"/>
  <c r="O6" i="93"/>
  <c r="L6" i="93"/>
  <c r="I6" i="93"/>
  <c r="F6" i="93"/>
  <c r="E2" i="93" l="1"/>
  <c r="F58" i="93"/>
  <c r="L47" i="93"/>
  <c r="I19" i="93"/>
  <c r="O11" i="93"/>
  <c r="F15" i="93"/>
  <c r="L11" i="93"/>
  <c r="L20" i="93"/>
  <c r="I28" i="93"/>
  <c r="L38" i="93"/>
  <c r="L56" i="93"/>
  <c r="I55" i="93"/>
  <c r="F24" i="93"/>
  <c r="L29" i="93"/>
  <c r="F33" i="93"/>
  <c r="I37" i="93"/>
  <c r="F42" i="93"/>
  <c r="O47" i="93"/>
  <c r="I11" i="93"/>
  <c r="O20" i="93"/>
  <c r="O38" i="93"/>
  <c r="I46" i="93"/>
  <c r="O29" i="93"/>
  <c r="H2" i="93" l="1"/>
</calcChain>
</file>

<file path=xl/comments1.xml><?xml version="1.0" encoding="utf-8"?>
<comments xmlns="http://schemas.openxmlformats.org/spreadsheetml/2006/main">
  <authors>
    <author>Jonathan Ytreberg</author>
  </authors>
  <commentList>
    <comment ref="B2" authorId="0" shapeId="0">
      <text>
        <r>
          <rPr>
            <sz val="9"/>
            <color indexed="81"/>
            <rFont val="Tahoma"/>
            <family val="2"/>
          </rPr>
          <t>Source information accurate as of April 24, 2018 for US markets.</t>
        </r>
      </text>
    </comment>
  </commentList>
</comments>
</file>

<file path=xl/sharedStrings.xml><?xml version="1.0" encoding="utf-8"?>
<sst xmlns="http://schemas.openxmlformats.org/spreadsheetml/2006/main" count="408" uniqueCount="130">
  <si>
    <t>2017 Oscar Nominees</t>
  </si>
  <si>
    <t>Film</t>
  </si>
  <si>
    <t>Seen</t>
  </si>
  <si>
    <t>Netflix</t>
  </si>
  <si>
    <t>% Seen</t>
  </si>
  <si>
    <t>The Square</t>
  </si>
  <si>
    <t>No</t>
  </si>
  <si>
    <t>Best Picture</t>
  </si>
  <si>
    <t>% Complete</t>
  </si>
  <si>
    <t>Best Director</t>
  </si>
  <si>
    <t>Best Actor</t>
  </si>
  <si>
    <t>Best Actress</t>
  </si>
  <si>
    <t>Best Supporing Actor</t>
  </si>
  <si>
    <t>Best Supporting Actress</t>
  </si>
  <si>
    <t>Best Original Screenplay</t>
  </si>
  <si>
    <t>Best Adapted Screenplay</t>
  </si>
  <si>
    <t>Best Foreign Language Film</t>
  </si>
  <si>
    <t>Best Animated Feature</t>
  </si>
  <si>
    <t>Best Documentary - Feature</t>
  </si>
  <si>
    <t>Best Documentary - Short</t>
  </si>
  <si>
    <t>Best Animated Short</t>
  </si>
  <si>
    <t>Best Live Action Short</t>
  </si>
  <si>
    <t>Best Original Score</t>
  </si>
  <si>
    <t>Best Original Song</t>
  </si>
  <si>
    <t>Best Sound Editing</t>
  </si>
  <si>
    <t>Best Sound Mixing</t>
  </si>
  <si>
    <t>Best Production Design</t>
  </si>
  <si>
    <t>Best Makeup and Hairstyling</t>
  </si>
  <si>
    <t>Best Cinematography</t>
  </si>
  <si>
    <t>Best Costume Design</t>
  </si>
  <si>
    <t>Best Film Editing</t>
  </si>
  <si>
    <t>Best Visual Effects</t>
  </si>
  <si>
    <t>Amazon Prime</t>
  </si>
  <si>
    <t>% Categories Complete</t>
  </si>
  <si>
    <t>The Big Sick</t>
  </si>
  <si>
    <t>Call Me By Your Name</t>
  </si>
  <si>
    <t>Darkest Hour</t>
  </si>
  <si>
    <t>Dunkirk</t>
  </si>
  <si>
    <t>Get Out</t>
  </si>
  <si>
    <t>Lady Bird</t>
  </si>
  <si>
    <t>Mudbound</t>
  </si>
  <si>
    <t>The Shape of Water</t>
  </si>
  <si>
    <t>Three Billboards Outside Ebbing, Missouri</t>
  </si>
  <si>
    <t>The Florida Project</t>
  </si>
  <si>
    <t>Phantom Thread</t>
  </si>
  <si>
    <t>The Post</t>
  </si>
  <si>
    <t>Blade Runner 2049</t>
  </si>
  <si>
    <t>All the Money in the World</t>
  </si>
  <si>
    <t>Roman J. Israel, Esq.</t>
  </si>
  <si>
    <t>Molly's Game</t>
  </si>
  <si>
    <t>Victoria &amp; Abdul</t>
  </si>
  <si>
    <t>I, Tonya</t>
  </si>
  <si>
    <t>Coco</t>
  </si>
  <si>
    <t>Boss Baby</t>
  </si>
  <si>
    <t>The Breadwinner</t>
  </si>
  <si>
    <t>Ferdinand</t>
  </si>
  <si>
    <t>Loving Vincent</t>
  </si>
  <si>
    <t>Loveless</t>
  </si>
  <si>
    <t>A Fantastic Woman</t>
  </si>
  <si>
    <t>The Greatest Showman</t>
  </si>
  <si>
    <t>Star Wars: The Last Jedi</t>
  </si>
  <si>
    <t>Beauty and the Beast</t>
  </si>
  <si>
    <t>Baby Driver</t>
  </si>
  <si>
    <t>Dear Basketball</t>
  </si>
  <si>
    <t>Negative Space</t>
  </si>
  <si>
    <t>Garden Party</t>
  </si>
  <si>
    <t>Lou</t>
  </si>
  <si>
    <t>Revolting Rhymes</t>
  </si>
  <si>
    <t>The Silent Child</t>
  </si>
  <si>
    <t>Watu Wote/All of Us</t>
  </si>
  <si>
    <t>My Nephew Emmett</t>
  </si>
  <si>
    <t>The Eleven O'Clock</t>
  </si>
  <si>
    <t>War for the Planet of the Apes</t>
  </si>
  <si>
    <t>Guardians of the Galaxy: Vol. 2</t>
  </si>
  <si>
    <t>Wonder</t>
  </si>
  <si>
    <t>The Insult</t>
  </si>
  <si>
    <t>On Body and Soul</t>
  </si>
  <si>
    <t>Heaven is a Traffic Jam on the 405</t>
  </si>
  <si>
    <t>Knife Skills</t>
  </si>
  <si>
    <t>Traffic Stop</t>
  </si>
  <si>
    <t>Heroin(e)</t>
  </si>
  <si>
    <t>Edith &amp; Eddie</t>
  </si>
  <si>
    <t>Faces Places</t>
  </si>
  <si>
    <t>Icarus</t>
  </si>
  <si>
    <t>Last Men in Aleppo</t>
  </si>
  <si>
    <t>Strong Island</t>
  </si>
  <si>
    <t>Marshall</t>
  </si>
  <si>
    <t>The Disaster Artist</t>
  </si>
  <si>
    <t>Logan</t>
  </si>
  <si>
    <t>Abacus: Small Enough to Jail</t>
  </si>
  <si>
    <t>DeKalb Elementary</t>
  </si>
  <si>
    <t>Kong: Skull Island</t>
  </si>
  <si>
    <t>Source</t>
  </si>
  <si>
    <t>Seen?</t>
  </si>
  <si>
    <t>Film Title</t>
  </si>
  <si>
    <t>Thank you for downloading the Oscar Nominee Tracker I created as part of The Oscar Project. I hope that this will encourage you to experience as many of the films that were nominated as you can and open your eyes to new films that you might not have considered otherwise.</t>
  </si>
  <si>
    <t>There are a few things I want to point out about the file before you dive in. First, to get to the actual list of films, select the '2017 Nominees' tab at the bottom of the window. There you will find a list of all 59 films released in 2017 that were nominated for Oscars by the Academy of Motion Picture Arts and Sciences.</t>
  </si>
  <si>
    <t>Blu-Ray (5/22/18)</t>
  </si>
  <si>
    <t>Blu-Ray (4/10/18)</t>
  </si>
  <si>
    <t>Each film has a few columns accompanying it. The first is a recommended source for viewing the film. I defer first to streaming services like Netflix and Amazon Prime that you might already be paying for. If the film is not currently available on one of those platforms, I recommend Blu-Ray or DVD releases. Many of the short films are available through Google Play in a package for $4.99 and are well worth the purchase. I have included a link to that as well. All three of these columns are sortable so you can review the films in any order that makes sense.</t>
  </si>
  <si>
    <t>The third column is an easy way to track your progress through all of the films. Clicking on one of the cells will provide you a drop-down menu to select whether you have or have not seen the film. By default, they are all toggled to "No".</t>
  </si>
  <si>
    <t>On the right side of the sheet, you'll see separate small tables for each award category, with the major awards at the top. The winner of each category is highlighted in green. Each of these lists can be sorted as well and will automatically update when you change the viewing status in the main list so there is no need to log a film as viewed more than once. Each category has a % Complete row at the bottom to track your progress in that category.</t>
  </si>
  <si>
    <t>The last thing to point out are the progress bars at the top. There are two tracking bars there, one to see your overall progress with viewing all 59 films, and one for tracking progress in finishing full categories. These bars will update automatically as you change the viewing status in the left side table and you'll be able to see the progress you make!</t>
  </si>
  <si>
    <t>For Questions, contact:</t>
  </si>
  <si>
    <t>Jonathan.Ytreberg@gmail.com</t>
  </si>
  <si>
    <t>Visit The Oscar Project Online</t>
  </si>
  <si>
    <t>Amazon Prime/Netflix</t>
  </si>
  <si>
    <t>Google Play</t>
  </si>
  <si>
    <t>Blu-Ray (10/10/17)</t>
  </si>
  <si>
    <t>Blu-Ray (1/16/18)</t>
  </si>
  <si>
    <t>Blu-Ray (3/13/18)</t>
  </si>
  <si>
    <t>Blu-Ray (2/27/18)</t>
  </si>
  <si>
    <t>Blu-Ray (12/19/17)</t>
  </si>
  <si>
    <t>Blu-Ray (3/6/18)</t>
  </si>
  <si>
    <t>Blu-Ray (5/27/17)</t>
  </si>
  <si>
    <t>Blu-Ray (7/18/17)</t>
  </si>
  <si>
    <t>Blu-Ray (5/23/17)</t>
  </si>
  <si>
    <t>DVD (6/12/18)</t>
  </si>
  <si>
    <t>Blu-Ray (1/9/18)</t>
  </si>
  <si>
    <t>Blu-Ray (2/13/18)</t>
  </si>
  <si>
    <t>Blu-Ray (3/27/18)</t>
  </si>
  <si>
    <t>Blu-Ray (5/1/18)</t>
  </si>
  <si>
    <t>Blu-Ray (4/17/18)</t>
  </si>
  <si>
    <t>DVD (1/30/18)</t>
  </si>
  <si>
    <t>Blu-Ray (10/19/17)</t>
  </si>
  <si>
    <t>Blu-Ray (10/24/17)</t>
  </si>
  <si>
    <t>Amazon</t>
  </si>
  <si>
    <t>HBO</t>
  </si>
  <si>
    <t>Short of the Week.com</t>
  </si>
  <si>
    <t>Last Updated: July 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</si>
</sst>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numFmts>
  <fonts count="4" x14ac:knownFonts="1">
    <font>
      <sz val="11"/>
      <color theme="1"/>
      <name val="Calibri"/>
      <family val="2"/>
      <scheme val="minor"/>
    </font>
    <font>
      <u/>
      <sz val="11"/>
      <color theme="10"/>
      <name val="Calibri"/>
      <family val="2"/>
      <scheme val="minor"/>
    </font>
    <font>
      <sz val="11"/>
      <color theme="1"/>
      <name val="Calibri"/>
      <family val="2"/>
      <scheme val="minor"/>
    </font>
    <font>
      <sz val="9"/>
      <color indexed="81"/>
      <name val="Tahoma"/>
      <family val="2"/>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21">
    <xf numFmtId="0" fontId="0" fillId="0" borderId="0" xfId="0"/>
    <xf numFmtId="0" fontId="0" fillId="0" borderId="0" xfId="0" applyAlignment="1">
      <alignment horizontal="left"/>
    </xf>
    <xf numFmtId="14" fontId="0" fillId="0" borderId="0" xfId="0" applyNumberFormat="1"/>
    <xf numFmtId="14" fontId="0" fillId="0" borderId="0" xfId="0" applyNumberFormat="1" applyAlignment="1">
      <alignment horizontal="left"/>
    </xf>
    <xf numFmtId="14" fontId="0" fillId="0" borderId="0" xfId="0" applyNumberFormat="1" applyAlignment="1"/>
    <xf numFmtId="0" fontId="0" fillId="0" borderId="0" xfId="0" applyAlignment="1"/>
    <xf numFmtId="14" fontId="1" fillId="0" borderId="0" xfId="1" applyNumberFormat="1" applyAlignment="1"/>
    <xf numFmtId="9" fontId="0" fillId="0" borderId="0" xfId="2" applyFont="1"/>
    <xf numFmtId="0" fontId="1" fillId="0" borderId="0" xfId="1"/>
    <xf numFmtId="9" fontId="0" fillId="0" borderId="0" xfId="0" applyNumberFormat="1" applyFont="1"/>
    <xf numFmtId="9" fontId="2" fillId="0" borderId="0" xfId="0" applyNumberFormat="1" applyFont="1"/>
    <xf numFmtId="0" fontId="0" fillId="0" borderId="0" xfId="0" applyNumberFormat="1"/>
    <xf numFmtId="0" fontId="0" fillId="2" borderId="0" xfId="0" applyFill="1"/>
    <xf numFmtId="0" fontId="0" fillId="0" borderId="0" xfId="0" applyAlignment="1">
      <alignment wrapText="1"/>
    </xf>
    <xf numFmtId="164" fontId="0" fillId="0" borderId="0" xfId="2" applyNumberFormat="1" applyFont="1"/>
    <xf numFmtId="0" fontId="0" fillId="0" borderId="0" xfId="0" applyAlignment="1" applyProtection="1">
      <protection locked="0"/>
    </xf>
    <xf numFmtId="0" fontId="1" fillId="0" borderId="0" xfId="1" applyAlignment="1">
      <alignment horizontal="left" wrapText="1"/>
    </xf>
    <xf numFmtId="0" fontId="0" fillId="0" borderId="0" xfId="0" applyAlignment="1">
      <alignment horizontal="left" wrapText="1"/>
    </xf>
    <xf numFmtId="0" fontId="1" fillId="0" borderId="0" xfId="1" applyAlignment="1">
      <alignment horizontal="left"/>
    </xf>
    <xf numFmtId="0" fontId="0" fillId="0" borderId="0" xfId="0" applyAlignment="1">
      <alignment horizontal="left"/>
    </xf>
    <xf numFmtId="0" fontId="0" fillId="0" borderId="0" xfId="0" applyAlignment="1">
      <alignment horizontal="center"/>
    </xf>
  </cellXfs>
  <cellStyles count="3">
    <cellStyle name="Hyperlink" xfId="1" builtinId="8"/>
    <cellStyle name="Normal" xfId="0" builtinId="0"/>
    <cellStyle name="Percent" xfId="2" builtinId="5"/>
  </cellStyles>
  <dxfs count="53">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dxf>
    <dxf>
      <numFmt numFmtId="0" formatCode="General"/>
    </dxf>
    <dxf>
      <font>
        <b val="0"/>
        <i val="0"/>
        <strike val="0"/>
        <condense val="0"/>
        <extend val="0"/>
        <outline val="0"/>
        <shadow val="0"/>
        <u val="none"/>
        <vertAlign val="baseline"/>
        <sz val="11"/>
        <color theme="1"/>
        <name val="Calibri"/>
        <family val="2"/>
        <scheme val="minor"/>
      </font>
      <numFmt numFmtId="13" formatCode="0%"/>
    </dxf>
    <dxf>
      <numFmt numFmtId="0" formatCode="General"/>
    </dxf>
    <dxf>
      <font>
        <b val="0"/>
        <i val="0"/>
        <strike val="0"/>
        <condense val="0"/>
        <extend val="0"/>
        <outline val="0"/>
        <shadow val="0"/>
        <u val="none"/>
        <vertAlign val="baseline"/>
        <sz val="11"/>
        <color theme="1"/>
        <name val="Calibri"/>
        <family val="2"/>
        <scheme val="minor"/>
      </font>
      <numFmt numFmtId="13" formatCode="0%"/>
    </dxf>
    <dxf>
      <numFmt numFmtId="0" formatCode="General"/>
    </dxf>
    <dxf>
      <font>
        <b val="0"/>
        <i val="0"/>
        <strike val="0"/>
        <condense val="0"/>
        <extend val="0"/>
        <outline val="0"/>
        <shadow val="0"/>
        <u val="none"/>
        <vertAlign val="baseline"/>
        <sz val="11"/>
        <color theme="1"/>
        <name val="Calibri"/>
        <family val="2"/>
        <scheme val="minor"/>
      </font>
    </dxf>
    <dxf>
      <numFmt numFmtId="0" formatCode="General"/>
    </dxf>
    <dxf>
      <font>
        <b val="0"/>
        <i val="0"/>
        <strike val="0"/>
        <condense val="0"/>
        <extend val="0"/>
        <outline val="0"/>
        <shadow val="0"/>
        <u val="none"/>
        <vertAlign val="baseline"/>
        <sz val="11"/>
        <color theme="1"/>
        <name val="Calibri"/>
        <family val="2"/>
        <scheme val="minor"/>
      </font>
    </dxf>
    <dxf>
      <numFmt numFmtId="0" formatCode="General"/>
    </dxf>
    <dxf>
      <font>
        <b val="0"/>
        <i val="0"/>
        <strike val="0"/>
        <condense val="0"/>
        <extend val="0"/>
        <outline val="0"/>
        <shadow val="0"/>
        <u val="none"/>
        <vertAlign val="baseline"/>
        <sz val="11"/>
        <color theme="1"/>
        <name val="Calibri"/>
        <family val="2"/>
        <scheme val="minor"/>
      </font>
      <numFmt numFmtId="13" formatCode="0%"/>
    </dxf>
    <dxf>
      <numFmt numFmtId="0" formatCode="General"/>
    </dxf>
    <dxf>
      <font>
        <b val="0"/>
        <i val="0"/>
        <strike val="0"/>
        <condense val="0"/>
        <extend val="0"/>
        <outline val="0"/>
        <shadow val="0"/>
        <u val="none"/>
        <vertAlign val="baseline"/>
        <sz val="11"/>
        <color theme="1"/>
        <name val="Calibri"/>
        <family val="2"/>
        <scheme val="minor"/>
      </font>
    </dxf>
    <dxf>
      <numFmt numFmtId="0" formatCode="General"/>
    </dxf>
    <dxf>
      <font>
        <b val="0"/>
        <i val="0"/>
        <strike val="0"/>
        <condense val="0"/>
        <extend val="0"/>
        <outline val="0"/>
        <shadow val="0"/>
        <u val="none"/>
        <vertAlign val="baseline"/>
        <sz val="11"/>
        <color theme="1"/>
        <name val="Calibri"/>
        <family val="2"/>
        <scheme val="minor"/>
      </font>
      <numFmt numFmtId="13" formatCode="0%"/>
    </dxf>
    <dxf>
      <numFmt numFmtId="0" formatCode="General"/>
    </dxf>
    <dxf>
      <font>
        <b val="0"/>
        <i val="0"/>
        <strike val="0"/>
        <condense val="0"/>
        <extend val="0"/>
        <outline val="0"/>
        <shadow val="0"/>
        <u val="none"/>
        <vertAlign val="baseline"/>
        <sz val="11"/>
        <color theme="1"/>
        <name val="Calibri"/>
        <family val="2"/>
        <scheme val="minor"/>
      </font>
      <numFmt numFmtId="13" formatCode="0%"/>
    </dxf>
    <dxf>
      <numFmt numFmtId="0" formatCode="General"/>
    </dxf>
    <dxf>
      <font>
        <b val="0"/>
        <i val="0"/>
        <strike val="0"/>
        <condense val="0"/>
        <extend val="0"/>
        <outline val="0"/>
        <shadow val="0"/>
        <u val="none"/>
        <vertAlign val="baseline"/>
        <sz val="11"/>
        <color theme="1"/>
        <name val="Calibri"/>
        <family val="2"/>
        <scheme val="minor"/>
      </font>
      <numFmt numFmtId="13" formatCode="0%"/>
    </dxf>
    <dxf>
      <numFmt numFmtId="0" formatCode="General"/>
    </dxf>
    <dxf>
      <font>
        <b val="0"/>
        <i val="0"/>
        <strike val="0"/>
        <condense val="0"/>
        <extend val="0"/>
        <outline val="0"/>
        <shadow val="0"/>
        <u val="none"/>
        <vertAlign val="baseline"/>
        <sz val="11"/>
        <color theme="1"/>
        <name val="Calibri"/>
        <family val="2"/>
        <scheme val="minor"/>
      </font>
    </dxf>
    <dxf>
      <numFmt numFmtId="0" formatCode="General"/>
    </dxf>
    <dxf>
      <font>
        <b val="0"/>
        <i val="0"/>
        <strike val="0"/>
        <condense val="0"/>
        <extend val="0"/>
        <outline val="0"/>
        <shadow val="0"/>
        <u val="none"/>
        <vertAlign val="baseline"/>
        <sz val="11"/>
        <color theme="1"/>
        <name val="Calibri"/>
        <family val="2"/>
        <scheme val="minor"/>
      </font>
    </dxf>
    <dxf>
      <numFmt numFmtId="0" formatCode="General"/>
    </dxf>
    <dxf>
      <font>
        <b val="0"/>
        <i val="0"/>
        <strike val="0"/>
        <condense val="0"/>
        <extend val="0"/>
        <outline val="0"/>
        <shadow val="0"/>
        <u val="none"/>
        <vertAlign val="baseline"/>
        <sz val="11"/>
        <color theme="1"/>
        <name val="Calibri"/>
        <family val="2"/>
        <scheme val="minor"/>
      </font>
    </dxf>
    <dxf>
      <numFmt numFmtId="0" formatCode="General"/>
    </dxf>
    <dxf>
      <font>
        <b val="0"/>
        <i val="0"/>
        <strike val="0"/>
        <condense val="0"/>
        <extend val="0"/>
        <outline val="0"/>
        <shadow val="0"/>
        <u val="none"/>
        <vertAlign val="baseline"/>
        <sz val="11"/>
        <color theme="1"/>
        <name val="Calibri"/>
        <family val="2"/>
        <scheme val="minor"/>
      </font>
    </dxf>
    <dxf>
      <numFmt numFmtId="0" formatCode="General"/>
    </dxf>
    <dxf>
      <font>
        <b val="0"/>
        <i val="0"/>
        <strike val="0"/>
        <condense val="0"/>
        <extend val="0"/>
        <outline val="0"/>
        <shadow val="0"/>
        <u val="none"/>
        <vertAlign val="baseline"/>
        <sz val="11"/>
        <color theme="1"/>
        <name val="Calibri"/>
        <family val="2"/>
        <scheme val="minor"/>
      </font>
      <numFmt numFmtId="13" formatCode="0%"/>
    </dxf>
    <dxf>
      <numFmt numFmtId="0" formatCode="General"/>
    </dxf>
    <dxf>
      <font>
        <b val="0"/>
        <i val="0"/>
        <strike val="0"/>
        <condense val="0"/>
        <extend val="0"/>
        <outline val="0"/>
        <shadow val="0"/>
        <u val="none"/>
        <vertAlign val="baseline"/>
        <sz val="11"/>
        <color theme="1"/>
        <name val="Calibri"/>
        <family val="2"/>
        <scheme val="minor"/>
      </font>
      <numFmt numFmtId="13" formatCode="0%"/>
    </dxf>
    <dxf>
      <numFmt numFmtId="0" formatCode="General"/>
    </dxf>
    <dxf>
      <font>
        <b val="0"/>
        <i val="0"/>
        <strike val="0"/>
        <condense val="0"/>
        <extend val="0"/>
        <outline val="0"/>
        <shadow val="0"/>
        <u val="none"/>
        <vertAlign val="baseline"/>
        <sz val="11"/>
        <color theme="1"/>
        <name val="Calibri"/>
        <family val="2"/>
        <scheme val="minor"/>
      </font>
    </dxf>
    <dxf>
      <numFmt numFmtId="0" formatCode="General"/>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numFmt numFmtId="0" formatCode="General"/>
    </dxf>
    <dxf>
      <font>
        <b val="0"/>
        <i val="0"/>
        <strike val="0"/>
        <condense val="0"/>
        <extend val="0"/>
        <outline val="0"/>
        <shadow val="0"/>
        <u val="none"/>
        <vertAlign val="baseline"/>
        <sz val="11"/>
        <color theme="1"/>
        <name val="Calibri"/>
        <family val="2"/>
        <scheme val="minor"/>
      </font>
      <numFmt numFmtId="13" formatCode="0%"/>
    </dxf>
    <dxf>
      <numFmt numFmtId="0" formatCode="General"/>
    </dxf>
    <dxf>
      <font>
        <b val="0"/>
        <i val="0"/>
        <strike val="0"/>
        <condense val="0"/>
        <extend val="0"/>
        <outline val="0"/>
        <shadow val="0"/>
        <u val="none"/>
        <vertAlign val="baseline"/>
        <sz val="11"/>
        <color theme="1"/>
        <name val="Calibri"/>
        <family val="2"/>
        <scheme val="minor"/>
      </font>
      <numFmt numFmtId="13" formatCode="0%"/>
    </dxf>
    <dxf>
      <numFmt numFmtId="0" formatCode="General"/>
    </dxf>
    <dxf>
      <font>
        <b val="0"/>
        <i val="0"/>
        <strike val="0"/>
        <condense val="0"/>
        <extend val="0"/>
        <outline val="0"/>
        <shadow val="0"/>
        <u val="none"/>
        <vertAlign val="baseline"/>
        <sz val="11"/>
        <color theme="1"/>
        <name val="Calibri"/>
        <family val="2"/>
        <scheme val="minor"/>
      </font>
      <numFmt numFmtId="13" formatCode="0%"/>
    </dxf>
    <dxf>
      <numFmt numFmtId="0" formatCode="General"/>
    </dxf>
    <dxf>
      <font>
        <b val="0"/>
        <i val="0"/>
        <strike val="0"/>
        <condense val="0"/>
        <extend val="0"/>
        <outline val="0"/>
        <shadow val="0"/>
        <u val="none"/>
        <vertAlign val="baseline"/>
        <sz val="11"/>
        <color theme="1"/>
        <name val="Calibri"/>
        <family val="2"/>
        <scheme val="minor"/>
      </font>
      <numFmt numFmtId="13" formatCode="0%"/>
    </dxf>
    <dxf>
      <numFmt numFmtId="0" formatCode="General"/>
    </dxf>
    <dxf>
      <font>
        <b val="0"/>
        <i val="0"/>
        <strike val="0"/>
        <condense val="0"/>
        <extend val="0"/>
        <outline val="0"/>
        <shadow val="0"/>
        <u val="none"/>
        <vertAlign val="baseline"/>
        <sz val="11"/>
        <color theme="1"/>
        <name val="Calibri"/>
        <family val="2"/>
        <scheme val="minor"/>
      </font>
      <numFmt numFmtId="13" formatCode="0%"/>
    </dxf>
    <dxf>
      <numFmt numFmtId="0" formatCode="General"/>
    </dxf>
    <dxf>
      <alignment horizontal="general" vertical="bottom" textRotation="0" wrapText="0" indent="0" justifyLastLine="0" shrinkToFit="0" readingOrder="0"/>
      <protection locked="0" hidden="0"/>
    </dxf>
    <dxf>
      <numFmt numFmtId="19" formatCode="m/d/yyyy"/>
      <alignment horizontal="general" vertical="bottom" textRotation="0" wrapText="0" indent="0" justifyLastLine="0" shrinkToFit="0" readingOrder="0"/>
    </dxf>
    <dxf>
      <fill>
        <patternFill>
          <bgColor theme="9" tint="0.39994506668294322"/>
        </patternFill>
      </fill>
    </dxf>
    <dxf>
      <fill>
        <patternFill>
          <bgColor rgb="FFFF7C8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hyperlink" Target="http://www.theoscarproject.weebly.com/"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15</xdr:row>
      <xdr:rowOff>0</xdr:rowOff>
    </xdr:from>
    <xdr:to>
      <xdr:col>18</xdr:col>
      <xdr:colOff>37574</xdr:colOff>
      <xdr:row>20</xdr:row>
      <xdr:rowOff>9405</xdr:rowOff>
    </xdr:to>
    <xdr:pic>
      <xdr:nvPicPr>
        <xdr:cNvPr id="3" name="Picture 2">
          <a:extLst>
            <a:ext uri="{FF2B5EF4-FFF2-40B4-BE49-F238E27FC236}">
              <a16:creationId xmlns:a16="http://schemas.microsoft.com/office/drawing/2014/main" id="{1EF52960-B318-4333-83DA-EDB7FB3652D1}"/>
            </a:ext>
          </a:extLst>
        </xdr:cNvPr>
        <xdr:cNvPicPr>
          <a:picLocks noChangeAspect="1"/>
        </xdr:cNvPicPr>
      </xdr:nvPicPr>
      <xdr:blipFill>
        <a:blip xmlns:r="http://schemas.openxmlformats.org/officeDocument/2006/relationships" r:embed="rId1"/>
        <a:stretch>
          <a:fillRect/>
        </a:stretch>
      </xdr:blipFill>
      <xdr:spPr>
        <a:xfrm>
          <a:off x="6800850" y="952500"/>
          <a:ext cx="4209524" cy="961905"/>
        </a:xfrm>
        <a:prstGeom prst="rect">
          <a:avLst/>
        </a:prstGeom>
      </xdr:spPr>
    </xdr:pic>
    <xdr:clientData/>
  </xdr:twoCellAnchor>
  <xdr:twoCellAnchor editAs="oneCell">
    <xdr:from>
      <xdr:col>11</xdr:col>
      <xdr:colOff>125631</xdr:colOff>
      <xdr:row>24</xdr:row>
      <xdr:rowOff>37421</xdr:rowOff>
    </xdr:from>
    <xdr:to>
      <xdr:col>12</xdr:col>
      <xdr:colOff>227850</xdr:colOff>
      <xdr:row>26</xdr:row>
      <xdr:rowOff>138479</xdr:rowOff>
    </xdr:to>
    <xdr:pic>
      <xdr:nvPicPr>
        <xdr:cNvPr id="4" name="Picture 3">
          <a:extLst>
            <a:ext uri="{FF2B5EF4-FFF2-40B4-BE49-F238E27FC236}">
              <a16:creationId xmlns:a16="http://schemas.microsoft.com/office/drawing/2014/main" id="{B20CC821-31A8-4536-8103-8D7C9B2EC988}"/>
            </a:ext>
          </a:extLst>
        </xdr:cNvPr>
        <xdr:cNvPicPr>
          <a:picLocks noChangeAspect="1"/>
        </xdr:cNvPicPr>
      </xdr:nvPicPr>
      <xdr:blipFill rotWithShape="1">
        <a:blip xmlns:r="http://schemas.openxmlformats.org/officeDocument/2006/relationships" r:embed="rId2"/>
        <a:srcRect l="28375" t="30118" r="66464" b="64051"/>
        <a:stretch/>
      </xdr:blipFill>
      <xdr:spPr>
        <a:xfrm>
          <a:off x="6831231" y="2704421"/>
          <a:ext cx="711819" cy="482058"/>
        </a:xfrm>
        <a:prstGeom prst="rect">
          <a:avLst/>
        </a:prstGeom>
      </xdr:spPr>
    </xdr:pic>
    <xdr:clientData/>
  </xdr:twoCellAnchor>
  <xdr:twoCellAnchor editAs="oneCell">
    <xdr:from>
      <xdr:col>11</xdr:col>
      <xdr:colOff>180975</xdr:colOff>
      <xdr:row>28</xdr:row>
      <xdr:rowOff>66675</xdr:rowOff>
    </xdr:from>
    <xdr:to>
      <xdr:col>14</xdr:col>
      <xdr:colOff>304556</xdr:colOff>
      <xdr:row>40</xdr:row>
      <xdr:rowOff>75913</xdr:rowOff>
    </xdr:to>
    <xdr:pic>
      <xdr:nvPicPr>
        <xdr:cNvPr id="5" name="Picture 4">
          <a:extLst>
            <a:ext uri="{FF2B5EF4-FFF2-40B4-BE49-F238E27FC236}">
              <a16:creationId xmlns:a16="http://schemas.microsoft.com/office/drawing/2014/main" id="{BC3D06EB-63B4-43AC-AD09-73E952166C7F}"/>
            </a:ext>
          </a:extLst>
        </xdr:cNvPr>
        <xdr:cNvPicPr>
          <a:picLocks noChangeAspect="1"/>
        </xdr:cNvPicPr>
      </xdr:nvPicPr>
      <xdr:blipFill>
        <a:blip xmlns:r="http://schemas.openxmlformats.org/officeDocument/2006/relationships" r:embed="rId3"/>
        <a:stretch>
          <a:fillRect/>
        </a:stretch>
      </xdr:blipFill>
      <xdr:spPr>
        <a:xfrm>
          <a:off x="6886575" y="3495675"/>
          <a:ext cx="1952381" cy="2295238"/>
        </a:xfrm>
        <a:prstGeom prst="rect">
          <a:avLst/>
        </a:prstGeom>
      </xdr:spPr>
    </xdr:pic>
    <xdr:clientData/>
  </xdr:twoCellAnchor>
  <xdr:twoCellAnchor editAs="oneCell">
    <xdr:from>
      <xdr:col>11</xdr:col>
      <xdr:colOff>180975</xdr:colOff>
      <xdr:row>41</xdr:row>
      <xdr:rowOff>76200</xdr:rowOff>
    </xdr:from>
    <xdr:to>
      <xdr:col>17</xdr:col>
      <xdr:colOff>94804</xdr:colOff>
      <xdr:row>43</xdr:row>
      <xdr:rowOff>85676</xdr:rowOff>
    </xdr:to>
    <xdr:pic>
      <xdr:nvPicPr>
        <xdr:cNvPr id="7" name="Picture 6">
          <a:extLst>
            <a:ext uri="{FF2B5EF4-FFF2-40B4-BE49-F238E27FC236}">
              <a16:creationId xmlns:a16="http://schemas.microsoft.com/office/drawing/2014/main" id="{46A0B04F-E1D8-4B04-90CB-89252B8BB9F6}"/>
            </a:ext>
          </a:extLst>
        </xdr:cNvPr>
        <xdr:cNvPicPr>
          <a:picLocks noChangeAspect="1"/>
        </xdr:cNvPicPr>
      </xdr:nvPicPr>
      <xdr:blipFill>
        <a:blip xmlns:r="http://schemas.openxmlformats.org/officeDocument/2006/relationships" r:embed="rId4"/>
        <a:stretch>
          <a:fillRect/>
        </a:stretch>
      </xdr:blipFill>
      <xdr:spPr>
        <a:xfrm>
          <a:off x="6886575" y="5981700"/>
          <a:ext cx="3571429" cy="390476"/>
        </a:xfrm>
        <a:prstGeom prst="rect">
          <a:avLst/>
        </a:prstGeom>
      </xdr:spPr>
    </xdr:pic>
    <xdr:clientData/>
  </xdr:twoCellAnchor>
  <xdr:twoCellAnchor editAs="oneCell">
    <xdr:from>
      <xdr:col>1</xdr:col>
      <xdr:colOff>0</xdr:colOff>
      <xdr:row>1</xdr:row>
      <xdr:rowOff>0</xdr:rowOff>
    </xdr:from>
    <xdr:to>
      <xdr:col>16</xdr:col>
      <xdr:colOff>322667</xdr:colOff>
      <xdr:row>9</xdr:row>
      <xdr:rowOff>66476</xdr:rowOff>
    </xdr:to>
    <xdr:pic>
      <xdr:nvPicPr>
        <xdr:cNvPr id="8" name="Picture 7">
          <a:hlinkClick xmlns:r="http://schemas.openxmlformats.org/officeDocument/2006/relationships" r:id="rId5"/>
          <a:extLst>
            <a:ext uri="{FF2B5EF4-FFF2-40B4-BE49-F238E27FC236}">
              <a16:creationId xmlns:a16="http://schemas.microsoft.com/office/drawing/2014/main" id="{98F4B858-DFEE-48A7-ABAF-AC15DEC19B6A}"/>
            </a:ext>
          </a:extLst>
        </xdr:cNvPr>
        <xdr:cNvPicPr>
          <a:picLocks noChangeAspect="1"/>
        </xdr:cNvPicPr>
      </xdr:nvPicPr>
      <xdr:blipFill>
        <a:blip xmlns:r="http://schemas.openxmlformats.org/officeDocument/2006/relationships" r:embed="rId6"/>
        <a:stretch>
          <a:fillRect/>
        </a:stretch>
      </xdr:blipFill>
      <xdr:spPr>
        <a:xfrm>
          <a:off x="609600" y="190500"/>
          <a:ext cx="9466667" cy="1590476"/>
        </a:xfrm>
        <a:prstGeom prst="rect">
          <a:avLst/>
        </a:prstGeom>
      </xdr:spPr>
    </xdr:pic>
    <xdr:clientData/>
  </xdr:twoCellAnchor>
</xdr:wsDr>
</file>

<file path=xl/tables/table1.xml><?xml version="1.0" encoding="utf-8"?>
<table xmlns="http://schemas.openxmlformats.org/spreadsheetml/2006/main" id="805" name="Oscars2017" displayName="Oscars2017" ref="A2:C62" totalsRowCount="1">
  <autoFilter ref="A2:C61"/>
  <sortState ref="A3:C61">
    <sortCondition ref="A2:A61"/>
  </sortState>
  <tableColumns count="3">
    <tableColumn id="1" name="Film Title" totalsRowFunction="count"/>
    <tableColumn id="2" name="Source" dataDxfId="50" totalsRowDxfId="1"/>
    <tableColumn id="3" name="Seen?" totalsRowFunction="custom" dataDxfId="49" totalsRowDxfId="0">
      <totalsRowFormula>COUNTIF(C3:C61,"Yes")</totalsRowFormula>
    </tableColumn>
  </tableColumns>
  <tableStyleInfo name="TableStyleMedium2" showFirstColumn="0" showLastColumn="0" showRowStripes="1" showColumnStripes="0"/>
</table>
</file>

<file path=xl/tables/table10.xml><?xml version="1.0" encoding="utf-8"?>
<table xmlns="http://schemas.openxmlformats.org/spreadsheetml/2006/main" id="870" name="Table1820222427871" displayName="Table1820222427871" ref="N14:O20" totalsRowCount="1">
  <autoFilter ref="N14:O19"/>
  <tableColumns count="2">
    <tableColumn id="1" name="Film" totalsRowLabel="% Complete"/>
    <tableColumn id="2" name="Seen" totalsRowFunction="custom" dataDxfId="33" totalsRowDxfId="32">
      <calculatedColumnFormula>VLOOKUP(Table1820222427871[[#This Row],[Film]],Oscars2017[],3,FALSE)</calculatedColumnFormula>
      <totalsRowFormula>COUNTIF(Table1820222427871[Seen],"Yes")/(COUNTA(Table1820222427871[Seen])+COUNTBLANK(Table1820222427871[Seen]))</totalsRowFormula>
    </tableColumn>
  </tableColumns>
  <tableStyleInfo name="TableStyleLight2" showFirstColumn="0" showLastColumn="0" showRowStripes="1" showColumnStripes="0"/>
</table>
</file>

<file path=xl/tables/table11.xml><?xml version="1.0" encoding="utf-8"?>
<table xmlns="http://schemas.openxmlformats.org/spreadsheetml/2006/main" id="871" name="Table1820212328872" displayName="Table1820212328872" ref="H22:I28" totalsRowCount="1">
  <autoFilter ref="H22:I27"/>
  <sortState ref="H23:I27">
    <sortCondition ref="H22:H27"/>
  </sortState>
  <tableColumns count="2">
    <tableColumn id="1" name="Film" totalsRowLabel="% Complete"/>
    <tableColumn id="2" name="Seen" totalsRowFunction="custom" dataDxfId="31" totalsRowDxfId="30">
      <calculatedColumnFormula>VLOOKUP(Table1820212328872[[#This Row],[Film]],Oscars2017[],3,FALSE)</calculatedColumnFormula>
      <totalsRowFormula>COUNTIF(Table1820212328872[Seen],"Yes")/(COUNTA(Table1820212328872[Seen])+COUNTBLANK(Table1820212328872[Seen]))</totalsRowFormula>
    </tableColumn>
  </tableColumns>
  <tableStyleInfo name="TableStyleLight2" showFirstColumn="0" showLastColumn="0" showRowStripes="1" showColumnStripes="0"/>
</table>
</file>

<file path=xl/tables/table12.xml><?xml version="1.0" encoding="utf-8"?>
<table xmlns="http://schemas.openxmlformats.org/spreadsheetml/2006/main" id="872" name="Table1820222429873" displayName="Table1820222429873" ref="K23:L29" totalsRowCount="1">
  <autoFilter ref="K23:L28"/>
  <tableColumns count="2">
    <tableColumn id="1" name="Film" totalsRowLabel="% Complete"/>
    <tableColumn id="2" name="Seen" totalsRowFunction="custom" dataDxfId="29" totalsRowDxfId="28" totalsRowCellStyle="Percent">
      <calculatedColumnFormula>VLOOKUP(Table1820222429873[[#This Row],[Film]],Oscars2017[],3,FALSE)</calculatedColumnFormula>
      <totalsRowFormula>COUNTIF(Table1820222429873[Seen],"Yes")/(COUNTA(Table1820222429873[Seen])+COUNTBLANK(Table1820222429873[Seen]))</totalsRowFormula>
    </tableColumn>
  </tableColumns>
  <tableStyleInfo name="TableStyleLight2" showFirstColumn="0" showLastColumn="0" showRowStripes="1" showColumnStripes="0"/>
</table>
</file>

<file path=xl/tables/table13.xml><?xml version="1.0" encoding="utf-8"?>
<table xmlns="http://schemas.openxmlformats.org/spreadsheetml/2006/main" id="873" name="Table182022242730874" displayName="Table182022242730874" ref="N23:O29" totalsRowCount="1">
  <autoFilter ref="N23:O28"/>
  <tableColumns count="2">
    <tableColumn id="1" name="Film" totalsRowLabel="% Complete"/>
    <tableColumn id="2" name="Seen" totalsRowFunction="custom" dataDxfId="27" totalsRowDxfId="26" totalsRowCellStyle="Percent">
      <calculatedColumnFormula>VLOOKUP(Table182022242730874[[#This Row],[Film]],Oscars2017[],3,FALSE)</calculatedColumnFormula>
      <totalsRowFormula>COUNTIF(Table182022242730874[Seen],"Yes")/(COUNTA(Table182022242730874[Seen])+COUNTBLANK(Table182022242730874[Seen]))</totalsRowFormula>
    </tableColumn>
  </tableColumns>
  <tableStyleInfo name="TableStyleLight2" showFirstColumn="0" showLastColumn="0" showRowStripes="1" showColumnStripes="0"/>
</table>
</file>

<file path=xl/tables/table14.xml><?xml version="1.0" encoding="utf-8"?>
<table xmlns="http://schemas.openxmlformats.org/spreadsheetml/2006/main" id="874" name="Table182021232831875" displayName="Table182021232831875" ref="H31:I37" totalsRowCount="1">
  <autoFilter ref="H31:I36"/>
  <tableColumns count="2">
    <tableColumn id="1" name="Film" totalsRowLabel="% Complete"/>
    <tableColumn id="2" name="Seen" totalsRowFunction="custom" dataDxfId="25" totalsRowDxfId="24" totalsRowCellStyle="Percent">
      <calculatedColumnFormula>VLOOKUP(Table182021232831875[[#This Row],[Film]],Oscars2017[],3,FALSE)</calculatedColumnFormula>
      <totalsRowFormula>COUNTIF(Table182021232831875[Seen],"Yes")/(COUNTA(Table182021232831875[Seen])+COUNTBLANK(Table182021232831875[Seen]))</totalsRowFormula>
    </tableColumn>
  </tableColumns>
  <tableStyleInfo name="TableStyleLight2" showFirstColumn="0" showLastColumn="0" showRowStripes="1" showColumnStripes="0"/>
</table>
</file>

<file path=xl/tables/table15.xml><?xml version="1.0" encoding="utf-8"?>
<table xmlns="http://schemas.openxmlformats.org/spreadsheetml/2006/main" id="875" name="Table182022242932876" displayName="Table182022242932876" ref="K32:L38" totalsRowCount="1">
  <autoFilter ref="K32:L37"/>
  <tableColumns count="2">
    <tableColumn id="1" name="Film" totalsRowLabel="% Complete"/>
    <tableColumn id="2" name="Seen" totalsRowFunction="custom" dataDxfId="23" totalsRowDxfId="22" totalsRowCellStyle="Percent">
      <calculatedColumnFormula>VLOOKUP(Table182022242932876[[#This Row],[Film]],Oscars2017[],3,FALSE)</calculatedColumnFormula>
      <totalsRowFormula>COUNTIF(Table182022242932876[Seen],"Yes")/(COUNTA(Table182022242932876[Seen])+COUNTBLANK(Table182022242932876[Seen]))</totalsRowFormula>
    </tableColumn>
  </tableColumns>
  <tableStyleInfo name="TableStyleLight2" showFirstColumn="0" showLastColumn="0" showRowStripes="1" showColumnStripes="0"/>
</table>
</file>

<file path=xl/tables/table16.xml><?xml version="1.0" encoding="utf-8"?>
<table xmlns="http://schemas.openxmlformats.org/spreadsheetml/2006/main" id="876" name="Table18202224273033877" displayName="Table18202224273033877" ref="N32:O38" totalsRowCount="1">
  <autoFilter ref="N32:O37"/>
  <tableColumns count="2">
    <tableColumn id="1" name="Film" totalsRowLabel="% Complete"/>
    <tableColumn id="2" name="Seen" totalsRowFunction="custom" dataDxfId="21" totalsRowDxfId="20">
      <calculatedColumnFormula>VLOOKUP(Table18202224273033877[[#This Row],[Film]],Oscars2017[],3,FALSE)</calculatedColumnFormula>
      <totalsRowFormula>COUNTIF(Table18202224273033877[Seen],"Yes")/(COUNTA(Table18202224273033877[Seen])+COUNTBLANK(Table18202224273033877[Seen]))</totalsRowFormula>
    </tableColumn>
  </tableColumns>
  <tableStyleInfo name="TableStyleLight2" showFirstColumn="0" showLastColumn="0" showRowStripes="1" showColumnStripes="0"/>
</table>
</file>

<file path=xl/tables/table17.xml><?xml version="1.0" encoding="utf-8"?>
<table xmlns="http://schemas.openxmlformats.org/spreadsheetml/2006/main" id="877" name="Table18202123283134878" displayName="Table18202123283134878" ref="H40:I46" totalsRowCount="1">
  <autoFilter ref="H40:I45"/>
  <tableColumns count="2">
    <tableColumn id="1" name="Film" totalsRowLabel="% Complete"/>
    <tableColumn id="2" name="Seen" totalsRowFunction="custom" dataDxfId="19" totalsRowDxfId="18">
      <calculatedColumnFormula>VLOOKUP(Table18202123283134878[[#This Row],[Film]],Oscars2017[],3,FALSE)</calculatedColumnFormula>
      <totalsRowFormula>COUNTIF(Table18202123283134878[Seen],"Yes")/(COUNTA(Table18202123283134878[Seen])+COUNTBLANK(Table18202123283134878[Seen]))</totalsRowFormula>
    </tableColumn>
  </tableColumns>
  <tableStyleInfo name="TableStyleLight2" showFirstColumn="0" showLastColumn="0" showRowStripes="1" showColumnStripes="0"/>
</table>
</file>

<file path=xl/tables/table18.xml><?xml version="1.0" encoding="utf-8"?>
<table xmlns="http://schemas.openxmlformats.org/spreadsheetml/2006/main" id="878" name="Table18202224293235879" displayName="Table18202224293235879" ref="K41:L47" totalsRowCount="1">
  <autoFilter ref="K41:L46"/>
  <tableColumns count="2">
    <tableColumn id="1" name="Film" totalsRowLabel="% Complete"/>
    <tableColumn id="2" name="Seen" totalsRowFunction="custom" dataDxfId="17" totalsRowDxfId="16">
      <calculatedColumnFormula>VLOOKUP(Table18202224293235879[[#This Row],[Film]],Oscars2017[],3,FALSE)</calculatedColumnFormula>
      <totalsRowFormula>COUNTIF(Table18202224293235879[Seen],"Yes")/(COUNTA(Table18202224293235879[Seen])+COUNTBLANK(Table18202224293235879[Seen]))</totalsRowFormula>
    </tableColumn>
  </tableColumns>
  <tableStyleInfo name="TableStyleLight2" showFirstColumn="0" showLastColumn="0" showRowStripes="1" showColumnStripes="0"/>
</table>
</file>

<file path=xl/tables/table19.xml><?xml version="1.0" encoding="utf-8"?>
<table xmlns="http://schemas.openxmlformats.org/spreadsheetml/2006/main" id="879" name="Table1820222427303336880" displayName="Table1820222427303336880" ref="N41:O47" totalsRowCount="1">
  <autoFilter ref="N41:O46"/>
  <tableColumns count="2">
    <tableColumn id="1" name="Film" totalsRowLabel="% Complete"/>
    <tableColumn id="2" name="Seen" totalsRowFunction="custom" dataDxfId="15" totalsRowDxfId="14" totalsRowCellStyle="Percent">
      <calculatedColumnFormula>VLOOKUP(Table1820222427303336880[[#This Row],[Film]],Oscars2017[],3,FALSE)</calculatedColumnFormula>
      <totalsRowFormula>COUNTIF(Table1820222427303336880[Seen],"Yes")/(COUNTA(Table1820222427303336880[Seen])+COUNTBLANK(Table1820222427303336880[Seen]))</totalsRowFormula>
    </tableColumn>
  </tableColumns>
  <tableStyleInfo name="TableStyleLight2" showFirstColumn="0" showLastColumn="0" showRowStripes="1" showColumnStripes="0"/>
</table>
</file>

<file path=xl/tables/table2.xml><?xml version="1.0" encoding="utf-8"?>
<table xmlns="http://schemas.openxmlformats.org/spreadsheetml/2006/main" id="806" name="Table18807" displayName="Table18807" ref="E5:F15" totalsRowCount="1">
  <autoFilter ref="E5:F14"/>
  <tableColumns count="2">
    <tableColumn id="1" name="Film" totalsRowLabel="% Complete"/>
    <tableColumn id="2" name="Seen" totalsRowFunction="custom" dataDxfId="48" totalsRowDxfId="47">
      <calculatedColumnFormula>VLOOKUP(Table18807[[#This Row],[Film]],Oscars2017[],3,FALSE)</calculatedColumnFormula>
      <totalsRowFormula>COUNTIF(Table18807[Seen],"Yes")/(COUNTA(Table18807[Seen])+COUNTBLANK(Table18807[Seen]))</totalsRowFormula>
    </tableColumn>
  </tableColumns>
  <tableStyleInfo name="TableStyleLight2" showFirstColumn="0" showLastColumn="0" showRowStripes="1" showColumnStripes="0"/>
</table>
</file>

<file path=xl/tables/table20.xml><?xml version="1.0" encoding="utf-8"?>
<table xmlns="http://schemas.openxmlformats.org/spreadsheetml/2006/main" id="880" name="Table182021232637881" displayName="Table182021232637881" ref="E36:F42" totalsRowCount="1">
  <autoFilter ref="E36:F41"/>
  <tableColumns count="2">
    <tableColumn id="1" name="Film" totalsRowLabel="% Complete"/>
    <tableColumn id="2" name="Seen" totalsRowFunction="custom" dataDxfId="13" totalsRowDxfId="12">
      <calculatedColumnFormula>VLOOKUP(Table182021232637881[[#This Row],[Film]],Oscars2017[],3,FALSE)</calculatedColumnFormula>
      <totalsRowFormula>COUNTIF(Table182021232637881[Seen],"Yes")/(COUNTA(Table182021232637881[Seen])+COUNTBLANK(Table182021232637881[Seen]))</totalsRowFormula>
    </tableColumn>
  </tableColumns>
  <tableStyleInfo name="TableStyleLight2" showFirstColumn="0" showLastColumn="0" showRowStripes="1" showColumnStripes="0"/>
</table>
</file>

<file path=xl/tables/table21.xml><?xml version="1.0" encoding="utf-8"?>
<table xmlns="http://schemas.openxmlformats.org/spreadsheetml/2006/main" id="881" name="Table18202123263738882" displayName="Table18202123263738882" ref="E45:F49" totalsRowCount="1">
  <autoFilter ref="E45:F48"/>
  <tableColumns count="2">
    <tableColumn id="1" name="Film" totalsRowLabel="% Complete"/>
    <tableColumn id="2" name="Seen" totalsRowFunction="custom" dataDxfId="11" totalsRowDxfId="10" totalsRowCellStyle="Percent">
      <calculatedColumnFormula>VLOOKUP(Table18202123263738882[[#This Row],[Film]],Oscars2017[],3,FALSE)</calculatedColumnFormula>
      <totalsRowFormula>COUNTIF(Table18202123263738882[Seen],"Yes")/(COUNTA(Table18202123263738882[Seen])+COUNTBLANK(Table18202123263738882[Seen]))</totalsRowFormula>
    </tableColumn>
  </tableColumns>
  <tableStyleInfo name="TableStyleLight2" showFirstColumn="0" showLastColumn="0" showRowStripes="1" showColumnStripes="0"/>
</table>
</file>

<file path=xl/tables/table22.xml><?xml version="1.0" encoding="utf-8"?>
<table xmlns="http://schemas.openxmlformats.org/spreadsheetml/2006/main" id="882" name="Table1820212328313439883" displayName="Table1820212328313439883" ref="H49:I55" totalsRowCount="1">
  <autoFilter ref="H49:I54"/>
  <tableColumns count="2">
    <tableColumn id="1" name="Film" totalsRowLabel="% Complete"/>
    <tableColumn id="2" name="Seen" totalsRowFunction="custom" dataDxfId="9" totalsRowDxfId="8" totalsRowCellStyle="Percent">
      <calculatedColumnFormula>VLOOKUP(Table1820212328313439883[[#This Row],[Film]],Oscars2017[],3,FALSE)</calculatedColumnFormula>
      <totalsRowFormula>COUNTIF(Table1820212328313439883[Seen],"Yes")/(COUNTA(Table1820212328313439883[Seen])+COUNTBLANK(Table1820212328313439883[Seen]))</totalsRowFormula>
    </tableColumn>
  </tableColumns>
  <tableStyleInfo name="TableStyleLight2" showFirstColumn="0" showLastColumn="0" showRowStripes="1" showColumnStripes="0"/>
</table>
</file>

<file path=xl/tables/table23.xml><?xml version="1.0" encoding="utf-8"?>
<table xmlns="http://schemas.openxmlformats.org/spreadsheetml/2006/main" id="883" name="Table1820222429323540884" displayName="Table1820222429323540884" ref="K50:L56" totalsRowCount="1">
  <autoFilter ref="K50:L55"/>
  <tableColumns count="2">
    <tableColumn id="1" name="Film" totalsRowLabel="% Complete"/>
    <tableColumn id="2" name="Seen" totalsRowFunction="custom" dataDxfId="7" totalsRowDxfId="6">
      <calculatedColumnFormula>VLOOKUP(Table1820222429323540884[[#This Row],[Film]],Oscars2017[],3,FALSE)</calculatedColumnFormula>
      <totalsRowFormula>COUNTIF(Table1820222429323540884[Seen],"Yes")/(COUNTA(Table1820222429323540884[Seen])+COUNTBLANK(Table1820222429323540884[Seen]))</totalsRowFormula>
    </tableColumn>
  </tableColumns>
  <tableStyleInfo name="TableStyleLight2" showFirstColumn="0" showLastColumn="0" showRowStripes="1" showColumnStripes="0"/>
</table>
</file>

<file path=xl/tables/table24.xml><?xml version="1.0" encoding="utf-8"?>
<table xmlns="http://schemas.openxmlformats.org/spreadsheetml/2006/main" id="884" name="Table182022242730333641885" displayName="Table182022242730333641885" ref="N50:O56" totalsRowCount="1">
  <autoFilter ref="N50:O55"/>
  <tableColumns count="2">
    <tableColumn id="1" name="Film" totalsRowLabel="% Complete"/>
    <tableColumn id="2" name="Seen" totalsRowFunction="custom" dataDxfId="5" totalsRowDxfId="4">
      <calculatedColumnFormula>VLOOKUP(Table182022242730333641885[[#This Row],[Film]],Oscars2017[],3,FALSE)</calculatedColumnFormula>
      <totalsRowFormula>COUNTIF(Table182022242730333641885[Seen],"Yes")/(COUNTA(Table182022242730333641885[Seen])+COUNTBLANK(Table182022242730333641885[Seen]))</totalsRowFormula>
    </tableColumn>
  </tableColumns>
  <tableStyleInfo name="TableStyleLight2" showFirstColumn="0" showLastColumn="0" showRowStripes="1" showColumnStripes="0"/>
</table>
</file>

<file path=xl/tables/table25.xml><?xml version="1.0" encoding="utf-8"?>
<table xmlns="http://schemas.openxmlformats.org/spreadsheetml/2006/main" id="885" name="Table182021232831343942886" displayName="Table182021232831343942886" ref="E52:F58" totalsRowCount="1">
  <autoFilter ref="E52:F57"/>
  <sortState ref="E52:F56">
    <sortCondition ref="E51:E56"/>
  </sortState>
  <tableColumns count="2">
    <tableColumn id="1" name="Film" totalsRowLabel="% Complete"/>
    <tableColumn id="2" name="Seen" totalsRowFunction="custom" dataDxfId="3" totalsRowDxfId="2">
      <calculatedColumnFormula>VLOOKUP(Table182021232831343942886[[#This Row],[Film]],Oscars2017[],3,FALSE)</calculatedColumnFormula>
      <totalsRowFormula>COUNTIF(Table182021232831343942886[Seen],"Yes")/(COUNTA(Table182021232831343942886[Seen])+COUNTBLANK(Table182021232831343942886[Seen]))</totalsRowFormula>
    </tableColumn>
  </tableColumns>
  <tableStyleInfo name="TableStyleLight2" showFirstColumn="0" showLastColumn="0" showRowStripes="1" showColumnStripes="0"/>
</table>
</file>

<file path=xl/tables/table3.xml><?xml version="1.0" encoding="utf-8"?>
<table xmlns="http://schemas.openxmlformats.org/spreadsheetml/2006/main" id="807" name="Table1820808" displayName="Table1820808" ref="H5:I11" totalsRowCount="1">
  <autoFilter ref="H5:I10"/>
  <tableColumns count="2">
    <tableColumn id="1" name="Film" totalsRowLabel="% Complete"/>
    <tableColumn id="2" name="Seen" totalsRowFunction="custom" dataDxfId="46" totalsRowDxfId="45">
      <calculatedColumnFormula>VLOOKUP(Table1820808[[#This Row],[Film]],Oscars2017[],3,FALSE)</calculatedColumnFormula>
      <totalsRowFormula>COUNTIF(Table1820808[Seen],"Yes")/(COUNTA(Table1820808[Seen])+COUNTBLANK(Table1820808[Seen]))</totalsRowFormula>
    </tableColumn>
  </tableColumns>
  <tableStyleInfo name="TableStyleLight2" showFirstColumn="0" showLastColumn="0" showRowStripes="1" showColumnStripes="0"/>
</table>
</file>

<file path=xl/tables/table4.xml><?xml version="1.0" encoding="utf-8"?>
<table xmlns="http://schemas.openxmlformats.org/spreadsheetml/2006/main" id="864" name="Table182021865" displayName="Table182021865" ref="K5:L11" totalsRowCount="1">
  <autoFilter ref="K5:L10"/>
  <tableColumns count="2">
    <tableColumn id="1" name="Film"/>
    <tableColumn id="2" name="Seen" totalsRowFunction="custom" dataDxfId="44" totalsRowDxfId="43">
      <calculatedColumnFormula>VLOOKUP(Table182021865[[#This Row],[Film]],Oscars2017[],3,FALSE)</calculatedColumnFormula>
      <totalsRowFormula>COUNTIF(Table182021865[Seen],"Yes")/(COUNTA(Table182021865[Seen])+COUNTBLANK(Table182021865[Seen]))</totalsRowFormula>
    </tableColumn>
  </tableColumns>
  <tableStyleInfo name="TableStyleLight2" showFirstColumn="0" showLastColumn="0" showRowStripes="1" showColumnStripes="0"/>
</table>
</file>

<file path=xl/tables/table5.xml><?xml version="1.0" encoding="utf-8"?>
<table xmlns="http://schemas.openxmlformats.org/spreadsheetml/2006/main" id="865" name="Table182022866" displayName="Table182022866" ref="N5:O11" totalsRowCount="1">
  <autoFilter ref="N5:O10"/>
  <tableColumns count="2">
    <tableColumn id="1" name="Film" totalsRowLabel="% Complete"/>
    <tableColumn id="2" name="Seen" totalsRowFunction="custom" dataDxfId="42" totalsRowDxfId="41">
      <calculatedColumnFormula>VLOOKUP(Table182022866[[#This Row],[Film]],Oscars2017[],3,FALSE)</calculatedColumnFormula>
      <totalsRowFormula>COUNTIF(Table182022866[Seen],"Yes")/(COUNTA(Table182022866[Seen])+COUNTBLANK(Table182022866[Seen]))</totalsRowFormula>
    </tableColumn>
  </tableColumns>
  <tableStyleInfo name="TableStyleLight2" showFirstColumn="0" showLastColumn="0" showRowStripes="1" showColumnStripes="0"/>
</table>
</file>

<file path=xl/tables/table6.xml><?xml version="1.0" encoding="utf-8"?>
<table xmlns="http://schemas.openxmlformats.org/spreadsheetml/2006/main" id="866" name="Table18202123867" displayName="Table18202123867" ref="H14:I19" totalsRowCount="1">
  <autoFilter ref="H14:I18"/>
  <tableColumns count="2">
    <tableColumn id="1" name="Film" totalsRowLabel="% Complete"/>
    <tableColumn id="2" name="Seen" totalsRowFunction="custom" dataDxfId="40" totalsRowDxfId="39">
      <calculatedColumnFormula>VLOOKUP(Table18202123867[[#This Row],[Film]],Oscars2017[],3,FALSE)</calculatedColumnFormula>
      <totalsRowFormula>COUNTIF(Table18202123867[Seen],"Yes")/(COUNTA(Table18202123867[Seen])+COUNTBLANK(Table18202123867[Seen]))</totalsRowFormula>
    </tableColumn>
  </tableColumns>
  <tableStyleInfo name="TableStyleLight2" showFirstColumn="0" showLastColumn="0" showRowStripes="1" showColumnStripes="0"/>
</table>
</file>

<file path=xl/tables/table7.xml><?xml version="1.0" encoding="utf-8"?>
<table xmlns="http://schemas.openxmlformats.org/spreadsheetml/2006/main" id="867" name="Table18202224868" displayName="Table18202224868" ref="K14:L20" totalsRowCount="1">
  <autoFilter ref="K14:L19"/>
  <tableColumns count="2">
    <tableColumn id="1" name="Film" totalsRowLabel="% Complete"/>
    <tableColumn id="2" name="Seen" totalsRowFunction="custom" dataDxfId="38" totalsRowDxfId="37">
      <calculatedColumnFormula>VLOOKUP(Table18202224868[[#This Row],[Film]],Oscars2017[],3,FALSE)</calculatedColumnFormula>
      <totalsRowFormula>COUNTIF(Table18202224868[Seen],"Yes")/(COUNTA(Table18202224868[Seen])+COUNTBLANK(Table18202224868[Seen]))</totalsRowFormula>
    </tableColumn>
  </tableColumns>
  <tableStyleInfo name="TableStyleLight2" showFirstColumn="0" showLastColumn="0" showRowStripes="1" showColumnStripes="0"/>
</table>
</file>

<file path=xl/tables/table8.xml><?xml version="1.0" encoding="utf-8"?>
<table xmlns="http://schemas.openxmlformats.org/spreadsheetml/2006/main" id="868" name="Table182025869" displayName="Table182025869" ref="E18:F24" totalsRowCount="1">
  <autoFilter ref="E18:F23"/>
  <sortState ref="E21:F22">
    <sortCondition ref="E20:E22"/>
  </sortState>
  <tableColumns count="2">
    <tableColumn id="1" name="Film" totalsRowLabel="% Complete"/>
    <tableColumn id="2" name="Seen" totalsRowFunction="custom" totalsRowDxfId="36">
      <calculatedColumnFormula>VLOOKUP(Table182025869[[#This Row],[Film]],Oscars2017[],3,FALSE)</calculatedColumnFormula>
      <totalsRowFormula>COUNTIF(Table182025869[Seen],"Yes")/(COUNTA(Table182025869[Seen])+COUNTBLANK(Table182025869[Seen]))</totalsRowFormula>
    </tableColumn>
  </tableColumns>
  <tableStyleInfo name="TableStyleLight2" showFirstColumn="0" showLastColumn="0" showRowStripes="1" showColumnStripes="0"/>
</table>
</file>

<file path=xl/tables/table9.xml><?xml version="1.0" encoding="utf-8"?>
<table xmlns="http://schemas.openxmlformats.org/spreadsheetml/2006/main" id="869" name="Table1820212326870" displayName="Table1820212326870" ref="E27:F33" totalsRowCount="1">
  <autoFilter ref="E27:F32"/>
  <sortState ref="E27:F31">
    <sortCondition ref="E26:E31"/>
  </sortState>
  <tableColumns count="2">
    <tableColumn id="1" name="Film" totalsRowLabel="% Complete"/>
    <tableColumn id="2" name="Seen" totalsRowFunction="custom" dataDxfId="35" totalsRowDxfId="34" totalsRowCellStyle="Percent">
      <calculatedColumnFormula>VLOOKUP(Table1820212326870[[#This Row],[Film]],Oscars2017[],3,FALSE)</calculatedColumnFormula>
      <totalsRowFormula>COUNTIF(Table1820212326870[Seen],"Yes")/(COUNTA(Table1820212326870[Seen])+COUNTBLANK(Table1820212326870[Seen]))</totalsRow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theoscarproject.weebly.com/" TargetMode="External"/><Relationship Id="rId1" Type="http://schemas.openxmlformats.org/officeDocument/2006/relationships/hyperlink" Target="mailto:Jonathan.Ytreberg@gmail.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amzn.to/2JnlemI" TargetMode="External"/><Relationship Id="rId21" Type="http://schemas.openxmlformats.org/officeDocument/2006/relationships/hyperlink" Target="https://amzn.to/2qXTwWA" TargetMode="External"/><Relationship Id="rId42" Type="http://schemas.openxmlformats.org/officeDocument/2006/relationships/hyperlink" Target="https://www.netflix.com/title/80234290" TargetMode="External"/><Relationship Id="rId47" Type="http://schemas.openxmlformats.org/officeDocument/2006/relationships/hyperlink" Target="https://amzn.to/2r0pTDh" TargetMode="External"/><Relationship Id="rId63" Type="http://schemas.openxmlformats.org/officeDocument/2006/relationships/hyperlink" Target="https://amzn.to/2HYn1z4" TargetMode="External"/><Relationship Id="rId68" Type="http://schemas.openxmlformats.org/officeDocument/2006/relationships/hyperlink" Target="https://www.netflix.com/title/80146758" TargetMode="External"/><Relationship Id="rId84" Type="http://schemas.openxmlformats.org/officeDocument/2006/relationships/vmlDrawing" Target="../drawings/vmlDrawing1.vml"/><Relationship Id="rId89" Type="http://schemas.openxmlformats.org/officeDocument/2006/relationships/table" Target="../tables/table5.xml"/><Relationship Id="rId2" Type="http://schemas.openxmlformats.org/officeDocument/2006/relationships/hyperlink" Target="https://amzn.to/2HYT2XP" TargetMode="External"/><Relationship Id="rId16" Type="http://schemas.openxmlformats.org/officeDocument/2006/relationships/hyperlink" Target="https://amzn.to/2JpuWF6" TargetMode="External"/><Relationship Id="rId29" Type="http://schemas.openxmlformats.org/officeDocument/2006/relationships/hyperlink" Target="https://amzn.to/2JsAkHF" TargetMode="External"/><Relationship Id="rId107" Type="http://schemas.openxmlformats.org/officeDocument/2006/relationships/table" Target="../tables/table23.xml"/><Relationship Id="rId11" Type="http://schemas.openxmlformats.org/officeDocument/2006/relationships/hyperlink" Target="https://amzn.to/2JpuWF6" TargetMode="External"/><Relationship Id="rId24" Type="http://schemas.openxmlformats.org/officeDocument/2006/relationships/hyperlink" Target="https://amzn.to/2qXZjuF" TargetMode="External"/><Relationship Id="rId32" Type="http://schemas.openxmlformats.org/officeDocument/2006/relationships/hyperlink" Target="https://www.netflix.com/title/80168079" TargetMode="External"/><Relationship Id="rId37" Type="http://schemas.openxmlformats.org/officeDocument/2006/relationships/hyperlink" Target="https://www.netflix.com/title/80168230" TargetMode="External"/><Relationship Id="rId40" Type="http://schemas.openxmlformats.org/officeDocument/2006/relationships/hyperlink" Target="https://www.netflix.com/title/80177414" TargetMode="External"/><Relationship Id="rId45" Type="http://schemas.openxmlformats.org/officeDocument/2006/relationships/hyperlink" Target="https://amzn.to/2HqXSA7" TargetMode="External"/><Relationship Id="rId53" Type="http://schemas.openxmlformats.org/officeDocument/2006/relationships/hyperlink" Target="https://amzn.to/2HtB2n4" TargetMode="External"/><Relationship Id="rId58" Type="http://schemas.openxmlformats.org/officeDocument/2006/relationships/hyperlink" Target="https://amzn.to/2HwCDZH" TargetMode="External"/><Relationship Id="rId66" Type="http://schemas.openxmlformats.org/officeDocument/2006/relationships/hyperlink" Target="https://amzn.to/2qZlMHH" TargetMode="External"/><Relationship Id="rId74" Type="http://schemas.openxmlformats.org/officeDocument/2006/relationships/hyperlink" Target="https://play.google.com/store/movies/details/Oscar_Nominated_Short_Films_2018_Select_Animation?id=_rRvsxf8Gj0" TargetMode="External"/><Relationship Id="rId79" Type="http://schemas.openxmlformats.org/officeDocument/2006/relationships/hyperlink" Target="https://www.hbo.com/documentaries/traffic-stop" TargetMode="External"/><Relationship Id="rId87" Type="http://schemas.openxmlformats.org/officeDocument/2006/relationships/table" Target="../tables/table3.xml"/><Relationship Id="rId102" Type="http://schemas.openxmlformats.org/officeDocument/2006/relationships/table" Target="../tables/table18.xml"/><Relationship Id="rId110" Type="http://schemas.openxmlformats.org/officeDocument/2006/relationships/comments" Target="../comments1.xml"/><Relationship Id="rId5" Type="http://schemas.openxmlformats.org/officeDocument/2006/relationships/hyperlink" Target="https://amzn.to/2qYB5QV" TargetMode="External"/><Relationship Id="rId61" Type="http://schemas.openxmlformats.org/officeDocument/2006/relationships/hyperlink" Target="https://amzn.to/2HX8Da4" TargetMode="External"/><Relationship Id="rId82" Type="http://schemas.openxmlformats.org/officeDocument/2006/relationships/hyperlink" Target="https://www.shortoftheweek.com/2018/02/09/editheddie/" TargetMode="External"/><Relationship Id="rId90" Type="http://schemas.openxmlformats.org/officeDocument/2006/relationships/table" Target="../tables/table6.xml"/><Relationship Id="rId95" Type="http://schemas.openxmlformats.org/officeDocument/2006/relationships/table" Target="../tables/table11.xml"/><Relationship Id="rId19" Type="http://schemas.openxmlformats.org/officeDocument/2006/relationships/hyperlink" Target="https://amzn.to/2HvYJvn" TargetMode="External"/><Relationship Id="rId14" Type="http://schemas.openxmlformats.org/officeDocument/2006/relationships/hyperlink" Target="https://amzn.to/2JpuWF6" TargetMode="External"/><Relationship Id="rId22" Type="http://schemas.openxmlformats.org/officeDocument/2006/relationships/hyperlink" Target="https://amzn.to/2HreR5g" TargetMode="External"/><Relationship Id="rId27" Type="http://schemas.openxmlformats.org/officeDocument/2006/relationships/hyperlink" Target="https://www.netflix.com/title/80192445" TargetMode="External"/><Relationship Id="rId30" Type="http://schemas.openxmlformats.org/officeDocument/2006/relationships/hyperlink" Target="https://www.netflix.com/title/80180204" TargetMode="External"/><Relationship Id="rId35" Type="http://schemas.openxmlformats.org/officeDocument/2006/relationships/hyperlink" Target="https://www.netflix.com/title/80175694" TargetMode="External"/><Relationship Id="rId43" Type="http://schemas.openxmlformats.org/officeDocument/2006/relationships/hyperlink" Target="https://www.netflix.com/title/80217121" TargetMode="External"/><Relationship Id="rId48" Type="http://schemas.openxmlformats.org/officeDocument/2006/relationships/hyperlink" Target="https://amzn.to/2HsfY4I" TargetMode="External"/><Relationship Id="rId56" Type="http://schemas.openxmlformats.org/officeDocument/2006/relationships/hyperlink" Target="https://amzn.to/2HwZMuE" TargetMode="External"/><Relationship Id="rId64" Type="http://schemas.openxmlformats.org/officeDocument/2006/relationships/hyperlink" Target="https://amzn.to/2HujyqT" TargetMode="External"/><Relationship Id="rId69" Type="http://schemas.openxmlformats.org/officeDocument/2006/relationships/hyperlink" Target="https://www.netflix.com/title/80135073" TargetMode="External"/><Relationship Id="rId77" Type="http://schemas.openxmlformats.org/officeDocument/2006/relationships/hyperlink" Target="https://play.google.com/store/movies/details/Oscar_Nominated_Short_Films_2018_Select_Animation?id=_rRvsxf8Gj0" TargetMode="External"/><Relationship Id="rId100" Type="http://schemas.openxmlformats.org/officeDocument/2006/relationships/table" Target="../tables/table16.xml"/><Relationship Id="rId105" Type="http://schemas.openxmlformats.org/officeDocument/2006/relationships/table" Target="../tables/table21.xml"/><Relationship Id="rId8" Type="http://schemas.openxmlformats.org/officeDocument/2006/relationships/hyperlink" Target="https://amzn.to/2HrRyIz" TargetMode="External"/><Relationship Id="rId51" Type="http://schemas.openxmlformats.org/officeDocument/2006/relationships/hyperlink" Target="https://amzn.to/2HqYOo7" TargetMode="External"/><Relationship Id="rId72" Type="http://schemas.openxmlformats.org/officeDocument/2006/relationships/hyperlink" Target="https://play.google.com/store/movies/details/Oscar_Nominated_Short_Films_2018_Select_Animation?id=_rRvsxf8Gj0" TargetMode="External"/><Relationship Id="rId80" Type="http://schemas.openxmlformats.org/officeDocument/2006/relationships/hyperlink" Target="https://www.netflix.com/title/80156386" TargetMode="External"/><Relationship Id="rId85" Type="http://schemas.openxmlformats.org/officeDocument/2006/relationships/table" Target="../tables/table1.xml"/><Relationship Id="rId93" Type="http://schemas.openxmlformats.org/officeDocument/2006/relationships/table" Target="../tables/table9.xml"/><Relationship Id="rId98" Type="http://schemas.openxmlformats.org/officeDocument/2006/relationships/table" Target="../tables/table14.xml"/><Relationship Id="rId3" Type="http://schemas.openxmlformats.org/officeDocument/2006/relationships/hyperlink" Target="https://amzn.to/2JlR9ne" TargetMode="External"/><Relationship Id="rId12" Type="http://schemas.openxmlformats.org/officeDocument/2006/relationships/hyperlink" Target="https://amzn.to/2JpuWF6" TargetMode="External"/><Relationship Id="rId17" Type="http://schemas.openxmlformats.org/officeDocument/2006/relationships/hyperlink" Target="https://amzn.to/2JpuWF6" TargetMode="External"/><Relationship Id="rId25" Type="http://schemas.openxmlformats.org/officeDocument/2006/relationships/hyperlink" Target="https://amzn.to/2I0ts4L" TargetMode="External"/><Relationship Id="rId33" Type="http://schemas.openxmlformats.org/officeDocument/2006/relationships/hyperlink" Target="https://www.netflix.com/title/80192445" TargetMode="External"/><Relationship Id="rId38" Type="http://schemas.openxmlformats.org/officeDocument/2006/relationships/hyperlink" Target="https://www.netflix.com/title/80168230" TargetMode="External"/><Relationship Id="rId46" Type="http://schemas.openxmlformats.org/officeDocument/2006/relationships/hyperlink" Target="https://amzn.to/2HL3OmG" TargetMode="External"/><Relationship Id="rId59" Type="http://schemas.openxmlformats.org/officeDocument/2006/relationships/hyperlink" Target="https://amzn.to/2HXjktm" TargetMode="External"/><Relationship Id="rId67" Type="http://schemas.openxmlformats.org/officeDocument/2006/relationships/hyperlink" Target="https://amzn.to/2HtDcTY" TargetMode="External"/><Relationship Id="rId103" Type="http://schemas.openxmlformats.org/officeDocument/2006/relationships/table" Target="../tables/table19.xml"/><Relationship Id="rId108" Type="http://schemas.openxmlformats.org/officeDocument/2006/relationships/table" Target="../tables/table24.xml"/><Relationship Id="rId20" Type="http://schemas.openxmlformats.org/officeDocument/2006/relationships/hyperlink" Target="https://amzn.to/2Jq87kq" TargetMode="External"/><Relationship Id="rId41" Type="http://schemas.openxmlformats.org/officeDocument/2006/relationships/hyperlink" Target="https://www.netflix.com/title/80234290" TargetMode="External"/><Relationship Id="rId54" Type="http://schemas.openxmlformats.org/officeDocument/2006/relationships/hyperlink" Target="https://amzn.to/2qZKffT" TargetMode="External"/><Relationship Id="rId62" Type="http://schemas.openxmlformats.org/officeDocument/2006/relationships/hyperlink" Target="https://amzn.to/2JrENdg" TargetMode="External"/><Relationship Id="rId70" Type="http://schemas.openxmlformats.org/officeDocument/2006/relationships/hyperlink" Target="https://www.netflix.com/title/80145790" TargetMode="External"/><Relationship Id="rId75" Type="http://schemas.openxmlformats.org/officeDocument/2006/relationships/hyperlink" Target="https://play.google.com/store/movies/details/Oscar_Nominated_Short_Films_2018_Select_Animation?id=_rRvsxf8Gj0" TargetMode="External"/><Relationship Id="rId83" Type="http://schemas.openxmlformats.org/officeDocument/2006/relationships/printerSettings" Target="../printerSettings/printerSettings1.bin"/><Relationship Id="rId88" Type="http://schemas.openxmlformats.org/officeDocument/2006/relationships/table" Target="../tables/table4.xml"/><Relationship Id="rId91" Type="http://schemas.openxmlformats.org/officeDocument/2006/relationships/table" Target="../tables/table7.xml"/><Relationship Id="rId96" Type="http://schemas.openxmlformats.org/officeDocument/2006/relationships/table" Target="../tables/table12.xml"/><Relationship Id="rId1" Type="http://schemas.openxmlformats.org/officeDocument/2006/relationships/hyperlink" Target="https://amzn.to/2vMrAdi" TargetMode="External"/><Relationship Id="rId6" Type="http://schemas.openxmlformats.org/officeDocument/2006/relationships/hyperlink" Target="https://amzn.to/2HVW2E5" TargetMode="External"/><Relationship Id="rId15" Type="http://schemas.openxmlformats.org/officeDocument/2006/relationships/hyperlink" Target="https://amzn.to/2JpuWF6" TargetMode="External"/><Relationship Id="rId23" Type="http://schemas.openxmlformats.org/officeDocument/2006/relationships/hyperlink" Target="https://amzn.to/2HpF97S" TargetMode="External"/><Relationship Id="rId28" Type="http://schemas.openxmlformats.org/officeDocument/2006/relationships/hyperlink" Target="https://www.netflix.com/title/80168079" TargetMode="External"/><Relationship Id="rId36" Type="http://schemas.openxmlformats.org/officeDocument/2006/relationships/hyperlink" Target="https://www.netflix.com/title/80175694" TargetMode="External"/><Relationship Id="rId49" Type="http://schemas.openxmlformats.org/officeDocument/2006/relationships/hyperlink" Target="https://amzn.to/2Hu89Yb" TargetMode="External"/><Relationship Id="rId57" Type="http://schemas.openxmlformats.org/officeDocument/2006/relationships/hyperlink" Target="https://amzn.to/2HqZ8TR" TargetMode="External"/><Relationship Id="rId106" Type="http://schemas.openxmlformats.org/officeDocument/2006/relationships/table" Target="../tables/table22.xml"/><Relationship Id="rId10" Type="http://schemas.openxmlformats.org/officeDocument/2006/relationships/hyperlink" Target="https://amzn.to/2HtK6MM" TargetMode="External"/><Relationship Id="rId31" Type="http://schemas.openxmlformats.org/officeDocument/2006/relationships/hyperlink" Target="https://amzn.to/2qYwHBv" TargetMode="External"/><Relationship Id="rId44" Type="http://schemas.openxmlformats.org/officeDocument/2006/relationships/hyperlink" Target="https://www.netflix.com/title/80217121" TargetMode="External"/><Relationship Id="rId52" Type="http://schemas.openxmlformats.org/officeDocument/2006/relationships/hyperlink" Target="https://amzn.to/2JtkJrf" TargetMode="External"/><Relationship Id="rId60" Type="http://schemas.openxmlformats.org/officeDocument/2006/relationships/hyperlink" Target="https://amzn.to/2qZkOLz" TargetMode="External"/><Relationship Id="rId65" Type="http://schemas.openxmlformats.org/officeDocument/2006/relationships/hyperlink" Target="https://amzn.to/2Fg05sd" TargetMode="External"/><Relationship Id="rId73" Type="http://schemas.openxmlformats.org/officeDocument/2006/relationships/hyperlink" Target="https://play.google.com/store/movies/details/Oscar_Nominated_Short_Films_2018_Select_Animation?id=_rRvsxf8Gj0" TargetMode="External"/><Relationship Id="rId78" Type="http://schemas.openxmlformats.org/officeDocument/2006/relationships/hyperlink" Target="https://play.google.com/store/movies/details/Oscar_Nominated_Short_Films_2018_Select_Animation?id=_rRvsxf8Gj0" TargetMode="External"/><Relationship Id="rId81" Type="http://schemas.openxmlformats.org/officeDocument/2006/relationships/hyperlink" Target="https://www.shortoftheweek.com/2018/02/09/editheddie/" TargetMode="External"/><Relationship Id="rId86" Type="http://schemas.openxmlformats.org/officeDocument/2006/relationships/table" Target="../tables/table2.xml"/><Relationship Id="rId94" Type="http://schemas.openxmlformats.org/officeDocument/2006/relationships/table" Target="../tables/table10.xml"/><Relationship Id="rId99" Type="http://schemas.openxmlformats.org/officeDocument/2006/relationships/table" Target="../tables/table15.xml"/><Relationship Id="rId101" Type="http://schemas.openxmlformats.org/officeDocument/2006/relationships/table" Target="../tables/table17.xml"/><Relationship Id="rId4" Type="http://schemas.openxmlformats.org/officeDocument/2006/relationships/hyperlink" Target="https://amzn.to/2qYB5QV" TargetMode="External"/><Relationship Id="rId9" Type="http://schemas.openxmlformats.org/officeDocument/2006/relationships/hyperlink" Target="https://amzn.to/2Jqzew1" TargetMode="External"/><Relationship Id="rId13" Type="http://schemas.openxmlformats.org/officeDocument/2006/relationships/hyperlink" Target="https://amzn.to/2JpuWF6" TargetMode="External"/><Relationship Id="rId18" Type="http://schemas.openxmlformats.org/officeDocument/2006/relationships/hyperlink" Target="https://amzn.to/2JpuWF6" TargetMode="External"/><Relationship Id="rId39" Type="http://schemas.openxmlformats.org/officeDocument/2006/relationships/hyperlink" Target="https://www.netflix.com/title/80177414" TargetMode="External"/><Relationship Id="rId109" Type="http://schemas.openxmlformats.org/officeDocument/2006/relationships/table" Target="../tables/table25.xml"/><Relationship Id="rId34" Type="http://schemas.openxmlformats.org/officeDocument/2006/relationships/hyperlink" Target="https://www.netflix.com/title/80180204" TargetMode="External"/><Relationship Id="rId50" Type="http://schemas.openxmlformats.org/officeDocument/2006/relationships/hyperlink" Target="https://amzn.to/2HtKRFS" TargetMode="External"/><Relationship Id="rId55" Type="http://schemas.openxmlformats.org/officeDocument/2006/relationships/hyperlink" Target="https://amzn.to/2Hqj1dI" TargetMode="External"/><Relationship Id="rId76" Type="http://schemas.openxmlformats.org/officeDocument/2006/relationships/hyperlink" Target="https://play.google.com/store/movies/details/Oscar_Nominated_Short_Films_2018_Select_Animation?id=_rRvsxf8Gj0" TargetMode="External"/><Relationship Id="rId97" Type="http://schemas.openxmlformats.org/officeDocument/2006/relationships/table" Target="../tables/table13.xml"/><Relationship Id="rId104" Type="http://schemas.openxmlformats.org/officeDocument/2006/relationships/table" Target="../tables/table20.xml"/><Relationship Id="rId7" Type="http://schemas.openxmlformats.org/officeDocument/2006/relationships/hyperlink" Target="https://amzn.to/2HVW8LX" TargetMode="External"/><Relationship Id="rId71" Type="http://schemas.openxmlformats.org/officeDocument/2006/relationships/hyperlink" Target="https://play.google.com/store/movies/details/Oscar_Nominated_Short_Films_2018_Select_Animation?id=_rRvsxf8Gj0" TargetMode="External"/><Relationship Id="rId92"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K46"/>
  <sheetViews>
    <sheetView tabSelected="1" topLeftCell="A10" zoomScaleNormal="100" workbookViewId="0">
      <selection activeCell="F14" sqref="F14"/>
    </sheetView>
  </sheetViews>
  <sheetFormatPr defaultRowHeight="15" x14ac:dyDescent="0.25"/>
  <sheetData>
    <row r="11" spans="1:11" x14ac:dyDescent="0.25">
      <c r="A11" s="17" t="s">
        <v>95</v>
      </c>
      <c r="B11" s="17"/>
      <c r="C11" s="17"/>
      <c r="D11" s="17"/>
      <c r="E11" s="17"/>
      <c r="F11" s="17"/>
      <c r="G11" s="17"/>
      <c r="H11" s="17"/>
      <c r="I11" s="17"/>
      <c r="J11" s="17"/>
      <c r="K11" s="17"/>
    </row>
    <row r="12" spans="1:11" x14ac:dyDescent="0.25">
      <c r="A12" s="17"/>
      <c r="B12" s="17"/>
      <c r="C12" s="17"/>
      <c r="D12" s="17"/>
      <c r="E12" s="17"/>
      <c r="F12" s="17"/>
      <c r="G12" s="17"/>
      <c r="H12" s="17"/>
      <c r="I12" s="17"/>
      <c r="J12" s="17"/>
      <c r="K12" s="17"/>
    </row>
    <row r="13" spans="1:11" x14ac:dyDescent="0.25">
      <c r="A13" s="17"/>
      <c r="B13" s="17"/>
      <c r="C13" s="17"/>
      <c r="D13" s="17"/>
      <c r="E13" s="17"/>
      <c r="F13" s="17"/>
      <c r="G13" s="17"/>
      <c r="H13" s="17"/>
      <c r="I13" s="17"/>
      <c r="J13" s="17"/>
      <c r="K13" s="17"/>
    </row>
    <row r="15" spans="1:11" x14ac:dyDescent="0.25">
      <c r="A15" s="17" t="s">
        <v>96</v>
      </c>
      <c r="B15" s="17"/>
      <c r="C15" s="17"/>
      <c r="D15" s="17"/>
      <c r="E15" s="17"/>
      <c r="F15" s="17"/>
      <c r="G15" s="17"/>
      <c r="H15" s="17"/>
      <c r="I15" s="17"/>
      <c r="J15" s="17"/>
      <c r="K15" s="17"/>
    </row>
    <row r="16" spans="1:11" x14ac:dyDescent="0.25">
      <c r="A16" s="17"/>
      <c r="B16" s="17"/>
      <c r="C16" s="17"/>
      <c r="D16" s="17"/>
      <c r="E16" s="17"/>
      <c r="F16" s="17"/>
      <c r="G16" s="17"/>
      <c r="H16" s="17"/>
      <c r="I16" s="17"/>
      <c r="J16" s="17"/>
      <c r="K16" s="17"/>
    </row>
    <row r="17" spans="1:11" x14ac:dyDescent="0.25">
      <c r="A17" s="17"/>
      <c r="B17" s="17"/>
      <c r="C17" s="17"/>
      <c r="D17" s="17"/>
      <c r="E17" s="17"/>
      <c r="F17" s="17"/>
      <c r="G17" s="17"/>
      <c r="H17" s="17"/>
      <c r="I17" s="17"/>
      <c r="J17" s="17"/>
      <c r="K17" s="17"/>
    </row>
    <row r="19" spans="1:11" ht="15" customHeight="1" x14ac:dyDescent="0.25">
      <c r="A19" s="17" t="s">
        <v>99</v>
      </c>
      <c r="B19" s="17"/>
      <c r="C19" s="17"/>
      <c r="D19" s="17"/>
      <c r="E19" s="17"/>
      <c r="F19" s="17"/>
      <c r="G19" s="17"/>
      <c r="H19" s="17"/>
      <c r="I19" s="17"/>
      <c r="J19" s="17"/>
      <c r="K19" s="17"/>
    </row>
    <row r="20" spans="1:11" x14ac:dyDescent="0.25">
      <c r="A20" s="17"/>
      <c r="B20" s="17"/>
      <c r="C20" s="17"/>
      <c r="D20" s="17"/>
      <c r="E20" s="17"/>
      <c r="F20" s="17"/>
      <c r="G20" s="17"/>
      <c r="H20" s="17"/>
      <c r="I20" s="17"/>
      <c r="J20" s="17"/>
      <c r="K20" s="17"/>
    </row>
    <row r="21" spans="1:11" x14ac:dyDescent="0.25">
      <c r="A21" s="17"/>
      <c r="B21" s="17"/>
      <c r="C21" s="17"/>
      <c r="D21" s="17"/>
      <c r="E21" s="17"/>
      <c r="F21" s="17"/>
      <c r="G21" s="17"/>
      <c r="H21" s="17"/>
      <c r="I21" s="17"/>
      <c r="J21" s="17"/>
      <c r="K21" s="17"/>
    </row>
    <row r="22" spans="1:11" x14ac:dyDescent="0.25">
      <c r="A22" s="17"/>
      <c r="B22" s="17"/>
      <c r="C22" s="17"/>
      <c r="D22" s="17"/>
      <c r="E22" s="17"/>
      <c r="F22" s="17"/>
      <c r="G22" s="17"/>
      <c r="H22" s="17"/>
      <c r="I22" s="17"/>
      <c r="J22" s="17"/>
      <c r="K22" s="17"/>
    </row>
    <row r="23" spans="1:11" x14ac:dyDescent="0.25">
      <c r="A23" s="17"/>
      <c r="B23" s="17"/>
      <c r="C23" s="17"/>
      <c r="D23" s="17"/>
      <c r="E23" s="17"/>
      <c r="F23" s="17"/>
      <c r="G23" s="17"/>
      <c r="H23" s="17"/>
      <c r="I23" s="17"/>
      <c r="J23" s="17"/>
      <c r="K23" s="17"/>
    </row>
    <row r="25" spans="1:11" x14ac:dyDescent="0.25">
      <c r="A25" s="17" t="s">
        <v>100</v>
      </c>
      <c r="B25" s="17"/>
      <c r="C25" s="17"/>
      <c r="D25" s="17"/>
      <c r="E25" s="17"/>
      <c r="F25" s="17"/>
      <c r="G25" s="17"/>
      <c r="H25" s="17"/>
      <c r="I25" s="17"/>
      <c r="J25" s="17"/>
      <c r="K25" s="17"/>
    </row>
    <row r="26" spans="1:11" x14ac:dyDescent="0.25">
      <c r="A26" s="17"/>
      <c r="B26" s="17"/>
      <c r="C26" s="17"/>
      <c r="D26" s="17"/>
      <c r="E26" s="17"/>
      <c r="F26" s="17"/>
      <c r="G26" s="17"/>
      <c r="H26" s="17"/>
      <c r="I26" s="17"/>
      <c r="J26" s="17"/>
      <c r="K26" s="17"/>
    </row>
    <row r="27" spans="1:11" x14ac:dyDescent="0.25">
      <c r="A27" s="17"/>
      <c r="B27" s="17"/>
      <c r="C27" s="17"/>
      <c r="D27" s="17"/>
      <c r="E27" s="17"/>
      <c r="F27" s="17"/>
      <c r="G27" s="17"/>
      <c r="H27" s="17"/>
      <c r="I27" s="17"/>
      <c r="J27" s="17"/>
      <c r="K27" s="17"/>
    </row>
    <row r="29" spans="1:11" ht="15" customHeight="1" x14ac:dyDescent="0.25">
      <c r="A29" s="17" t="s">
        <v>101</v>
      </c>
      <c r="B29" s="17"/>
      <c r="C29" s="17"/>
      <c r="D29" s="17"/>
      <c r="E29" s="17"/>
      <c r="F29" s="17"/>
      <c r="G29" s="17"/>
      <c r="H29" s="17"/>
      <c r="I29" s="17"/>
      <c r="J29" s="17"/>
      <c r="K29" s="17"/>
    </row>
    <row r="30" spans="1:11" x14ac:dyDescent="0.25">
      <c r="A30" s="17"/>
      <c r="B30" s="17"/>
      <c r="C30" s="17"/>
      <c r="D30" s="17"/>
      <c r="E30" s="17"/>
      <c r="F30" s="17"/>
      <c r="G30" s="17"/>
      <c r="H30" s="17"/>
      <c r="I30" s="17"/>
      <c r="J30" s="17"/>
      <c r="K30" s="17"/>
    </row>
    <row r="31" spans="1:11" x14ac:dyDescent="0.25">
      <c r="A31" s="17"/>
      <c r="B31" s="17"/>
      <c r="C31" s="17"/>
      <c r="D31" s="17"/>
      <c r="E31" s="17"/>
      <c r="F31" s="17"/>
      <c r="G31" s="17"/>
      <c r="H31" s="17"/>
      <c r="I31" s="17"/>
      <c r="J31" s="17"/>
      <c r="K31" s="17"/>
    </row>
    <row r="32" spans="1:11" x14ac:dyDescent="0.25">
      <c r="A32" s="17"/>
      <c r="B32" s="17"/>
      <c r="C32" s="17"/>
      <c r="D32" s="17"/>
      <c r="E32" s="17"/>
      <c r="F32" s="17"/>
      <c r="G32" s="17"/>
      <c r="H32" s="17"/>
      <c r="I32" s="17"/>
      <c r="J32" s="17"/>
      <c r="K32" s="17"/>
    </row>
    <row r="33" spans="1:11" x14ac:dyDescent="0.25">
      <c r="A33" s="17"/>
      <c r="B33" s="17"/>
      <c r="C33" s="17"/>
      <c r="D33" s="17"/>
      <c r="E33" s="17"/>
      <c r="F33" s="17"/>
      <c r="G33" s="17"/>
      <c r="H33" s="17"/>
      <c r="I33" s="17"/>
      <c r="J33" s="17"/>
      <c r="K33" s="17"/>
    </row>
    <row r="35" spans="1:11" ht="15" customHeight="1" x14ac:dyDescent="0.25">
      <c r="A35" s="17" t="s">
        <v>102</v>
      </c>
      <c r="B35" s="17"/>
      <c r="C35" s="17"/>
      <c r="D35" s="17"/>
      <c r="E35" s="17"/>
      <c r="F35" s="17"/>
      <c r="G35" s="17"/>
      <c r="H35" s="17"/>
      <c r="I35" s="17"/>
      <c r="J35" s="17"/>
      <c r="K35" s="17"/>
    </row>
    <row r="36" spans="1:11" x14ac:dyDescent="0.25">
      <c r="A36" s="17"/>
      <c r="B36" s="17"/>
      <c r="C36" s="17"/>
      <c r="D36" s="17"/>
      <c r="E36" s="17"/>
      <c r="F36" s="17"/>
      <c r="G36" s="17"/>
      <c r="H36" s="17"/>
      <c r="I36" s="17"/>
      <c r="J36" s="17"/>
      <c r="K36" s="17"/>
    </row>
    <row r="37" spans="1:11" x14ac:dyDescent="0.25">
      <c r="A37" s="17"/>
      <c r="B37" s="17"/>
      <c r="C37" s="17"/>
      <c r="D37" s="17"/>
      <c r="E37" s="17"/>
      <c r="F37" s="17"/>
      <c r="G37" s="17"/>
      <c r="H37" s="17"/>
      <c r="I37" s="17"/>
      <c r="J37" s="17"/>
      <c r="K37" s="17"/>
    </row>
    <row r="38" spans="1:11" x14ac:dyDescent="0.25">
      <c r="A38" s="17"/>
      <c r="B38" s="17"/>
      <c r="C38" s="17"/>
      <c r="D38" s="17"/>
      <c r="E38" s="17"/>
      <c r="F38" s="17"/>
      <c r="G38" s="17"/>
      <c r="H38" s="17"/>
      <c r="I38" s="17"/>
      <c r="J38" s="17"/>
      <c r="K38" s="17"/>
    </row>
    <row r="40" spans="1:11" ht="15" customHeight="1" x14ac:dyDescent="0.25">
      <c r="A40" s="17" t="s">
        <v>129</v>
      </c>
      <c r="B40" s="17"/>
      <c r="C40" s="17"/>
      <c r="D40" s="17"/>
      <c r="E40" s="17"/>
      <c r="F40" s="17"/>
      <c r="G40" s="17"/>
      <c r="H40" s="17"/>
      <c r="I40" s="17"/>
      <c r="J40" s="17"/>
      <c r="K40" s="17"/>
    </row>
    <row r="41" spans="1:11" x14ac:dyDescent="0.25">
      <c r="A41" s="17" t="s">
        <v>103</v>
      </c>
      <c r="B41" s="17"/>
      <c r="C41" s="17"/>
      <c r="D41" s="18" t="s">
        <v>104</v>
      </c>
      <c r="E41" s="19"/>
      <c r="F41" s="19"/>
      <c r="G41" s="13"/>
      <c r="H41" s="13"/>
      <c r="I41" s="13"/>
      <c r="J41" s="13"/>
      <c r="K41" s="13"/>
    </row>
    <row r="42" spans="1:11" x14ac:dyDescent="0.25">
      <c r="A42" s="16" t="s">
        <v>105</v>
      </c>
      <c r="B42" s="16"/>
      <c r="C42" s="16"/>
      <c r="D42" s="13"/>
      <c r="E42" s="13"/>
      <c r="F42" s="13"/>
      <c r="G42" s="13"/>
      <c r="H42" s="13"/>
      <c r="I42" s="13"/>
      <c r="J42" s="13"/>
      <c r="K42" s="13"/>
    </row>
    <row r="43" spans="1:11" x14ac:dyDescent="0.25">
      <c r="A43" s="13"/>
      <c r="B43" s="13"/>
      <c r="C43" s="13"/>
      <c r="D43" s="13"/>
      <c r="E43" s="13"/>
      <c r="F43" s="13"/>
      <c r="G43" s="13"/>
      <c r="H43" s="13"/>
      <c r="I43" s="13"/>
      <c r="J43" s="13"/>
      <c r="K43" s="13"/>
    </row>
    <row r="45" spans="1:11" ht="15" customHeight="1" x14ac:dyDescent="0.25"/>
    <row r="46" spans="1:11" ht="15" customHeight="1" x14ac:dyDescent="0.25"/>
  </sheetData>
  <sheetProtection algorithmName="SHA-512" hashValue="ah52yXU2axcUnP/v7rj/fFSQkUyFoxGoOaC412GMpArWC2PYWnwjTd5rLwchu7YOU/zP+dJf/PZT+FY6TUHHXw==" saltValue="AHMz+jFizEbovK8Wb2Wwlw==" spinCount="100000" sheet="1" objects="1" scenarios="1"/>
  <mergeCells count="10">
    <mergeCell ref="A42:C42"/>
    <mergeCell ref="A11:K13"/>
    <mergeCell ref="A15:K17"/>
    <mergeCell ref="A19:K23"/>
    <mergeCell ref="A25:K27"/>
    <mergeCell ref="A29:K33"/>
    <mergeCell ref="A35:K38"/>
    <mergeCell ref="A40:K40"/>
    <mergeCell ref="A41:C41"/>
    <mergeCell ref="D41:F41"/>
  </mergeCells>
  <hyperlinks>
    <hyperlink ref="D41" r:id="rId1"/>
    <hyperlink ref="A42:C42" r:id="rId2" display="Visit The Oscar Project Online"/>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2"/>
  <sheetViews>
    <sheetView workbookViewId="0">
      <pane ySplit="2" topLeftCell="A6" activePane="bottomLeft" state="frozen"/>
      <selection activeCell="E4" sqref="E4:O20"/>
      <selection pane="bottomLeft" activeCell="B16" sqref="B16"/>
    </sheetView>
  </sheetViews>
  <sheetFormatPr defaultRowHeight="15" x14ac:dyDescent="0.25"/>
  <cols>
    <col min="1" max="1" width="38.85546875" bestFit="1" customWidth="1"/>
    <col min="2" max="2" width="21.140625" style="2" bestFit="1" customWidth="1"/>
    <col min="3" max="3" width="7.7109375" customWidth="1"/>
    <col min="4" max="4" width="2.85546875" customWidth="1"/>
    <col min="5" max="5" width="21.42578125" customWidth="1"/>
    <col min="6" max="6" width="7.7109375" customWidth="1"/>
    <col min="7" max="7" width="2.85546875" customWidth="1"/>
    <col min="8" max="8" width="21.42578125" customWidth="1"/>
    <col min="9" max="9" width="7.7109375" customWidth="1"/>
    <col min="10" max="10" width="2.85546875" customWidth="1"/>
    <col min="11" max="11" width="21.42578125" customWidth="1"/>
    <col min="12" max="12" width="7.7109375" customWidth="1"/>
    <col min="13" max="13" width="2.85546875" customWidth="1"/>
    <col min="14" max="14" width="22.140625" customWidth="1"/>
    <col min="15" max="15" width="7.7109375" customWidth="1"/>
  </cols>
  <sheetData>
    <row r="1" spans="1:15" x14ac:dyDescent="0.25">
      <c r="A1" s="20" t="s">
        <v>0</v>
      </c>
      <c r="B1" s="20"/>
      <c r="C1" s="20"/>
      <c r="E1" t="s">
        <v>4</v>
      </c>
      <c r="H1" t="s">
        <v>33</v>
      </c>
    </row>
    <row r="2" spans="1:15" x14ac:dyDescent="0.25">
      <c r="A2" s="1" t="s">
        <v>94</v>
      </c>
      <c r="B2" s="3" t="s">
        <v>92</v>
      </c>
      <c r="C2" s="1" t="s">
        <v>93</v>
      </c>
      <c r="E2" s="14">
        <f>Oscars2017[[#Totals],[Seen?]]/Oscars2017[[#Totals],[Film Title]]*100</f>
        <v>0</v>
      </c>
      <c r="H2" s="14">
        <f>COUNTIF(E4:O57,100%)/COUNT(E4:O57)*100</f>
        <v>0</v>
      </c>
    </row>
    <row r="3" spans="1:15" x14ac:dyDescent="0.25">
      <c r="A3" s="8" t="s">
        <v>58</v>
      </c>
      <c r="B3" s="4" t="s">
        <v>97</v>
      </c>
      <c r="C3" s="15" t="s">
        <v>6</v>
      </c>
    </row>
    <row r="4" spans="1:15" x14ac:dyDescent="0.25">
      <c r="A4" s="8" t="s">
        <v>89</v>
      </c>
      <c r="B4" s="6" t="s">
        <v>106</v>
      </c>
      <c r="C4" s="15" t="s">
        <v>6</v>
      </c>
      <c r="E4" s="20" t="s">
        <v>7</v>
      </c>
      <c r="F4" s="20"/>
      <c r="H4" s="20" t="s">
        <v>9</v>
      </c>
      <c r="I4" s="20"/>
      <c r="K4" s="20" t="s">
        <v>10</v>
      </c>
      <c r="L4" s="20"/>
      <c r="N4" s="20" t="s">
        <v>11</v>
      </c>
      <c r="O4" s="20"/>
    </row>
    <row r="5" spans="1:15" x14ac:dyDescent="0.25">
      <c r="A5" s="8" t="s">
        <v>47</v>
      </c>
      <c r="B5" s="4" t="s">
        <v>98</v>
      </c>
      <c r="C5" s="15" t="s">
        <v>6</v>
      </c>
      <c r="E5" t="s">
        <v>1</v>
      </c>
      <c r="F5" t="s">
        <v>2</v>
      </c>
      <c r="H5" t="s">
        <v>1</v>
      </c>
      <c r="I5" t="s">
        <v>2</v>
      </c>
      <c r="K5" t="s">
        <v>1</v>
      </c>
      <c r="L5" t="s">
        <v>2</v>
      </c>
      <c r="N5" t="s">
        <v>1</v>
      </c>
      <c r="O5" t="s">
        <v>2</v>
      </c>
    </row>
    <row r="6" spans="1:15" x14ac:dyDescent="0.25">
      <c r="A6" s="8" t="s">
        <v>62</v>
      </c>
      <c r="B6" s="4" t="s">
        <v>108</v>
      </c>
      <c r="C6" s="15" t="s">
        <v>6</v>
      </c>
      <c r="E6" t="s">
        <v>42</v>
      </c>
      <c r="F6" t="str">
        <f>VLOOKUP(Table18807[[#This Row],[Film]],Oscars2017[],3,FALSE)</f>
        <v>No</v>
      </c>
      <c r="H6" t="s">
        <v>37</v>
      </c>
      <c r="I6" t="str">
        <f>VLOOKUP(Table1820808[[#This Row],[Film]],Oscars2017[],3,FALSE)</f>
        <v>No</v>
      </c>
      <c r="K6" t="s">
        <v>38</v>
      </c>
      <c r="L6" t="str">
        <f>VLOOKUP(Table182021865[[#This Row],[Film]],Oscars2017[],3,FALSE)</f>
        <v>No</v>
      </c>
      <c r="N6" s="12" t="s">
        <v>42</v>
      </c>
      <c r="O6" t="str">
        <f>VLOOKUP(Table182022866[[#This Row],[Film]],Oscars2017[],3,FALSE)</f>
        <v>No</v>
      </c>
    </row>
    <row r="7" spans="1:15" x14ac:dyDescent="0.25">
      <c r="A7" s="8" t="s">
        <v>61</v>
      </c>
      <c r="B7" s="6" t="s">
        <v>3</v>
      </c>
      <c r="C7" s="15" t="s">
        <v>6</v>
      </c>
      <c r="E7" t="s">
        <v>35</v>
      </c>
      <c r="F7" t="str">
        <f>VLOOKUP(Table18807[[#This Row],[Film]],Oscars2017[],3,FALSE)</f>
        <v>No</v>
      </c>
      <c r="H7" s="12" t="s">
        <v>41</v>
      </c>
      <c r="I7" t="str">
        <f>VLOOKUP(Table1820808[[#This Row],[Film]],Oscars2017[],3,FALSE)</f>
        <v>No</v>
      </c>
      <c r="K7" s="12" t="s">
        <v>36</v>
      </c>
      <c r="L7" t="str">
        <f>VLOOKUP(Table182021865[[#This Row],[Film]],Oscars2017[],3,FALSE)</f>
        <v>No</v>
      </c>
      <c r="N7" t="s">
        <v>39</v>
      </c>
      <c r="O7" t="str">
        <f>VLOOKUP(Table182022866[[#This Row],[Film]],Oscars2017[],3,FALSE)</f>
        <v>No</v>
      </c>
    </row>
    <row r="8" spans="1:15" x14ac:dyDescent="0.25">
      <c r="A8" s="8" t="s">
        <v>46</v>
      </c>
      <c r="B8" s="4" t="s">
        <v>109</v>
      </c>
      <c r="C8" s="15" t="s">
        <v>6</v>
      </c>
      <c r="E8" t="s">
        <v>37</v>
      </c>
      <c r="F8" t="str">
        <f>VLOOKUP(Table18807[[#This Row],[Film]],Oscars2017[],3,FALSE)</f>
        <v>No</v>
      </c>
      <c r="H8" t="s">
        <v>38</v>
      </c>
      <c r="I8" t="str">
        <f>VLOOKUP(Table1820808[[#This Row],[Film]],Oscars2017[],3,FALSE)</f>
        <v>No</v>
      </c>
      <c r="K8" t="s">
        <v>48</v>
      </c>
      <c r="L8" t="str">
        <f>VLOOKUP(Table182021865[[#This Row],[Film]],Oscars2017[],3,FALSE)</f>
        <v>No</v>
      </c>
      <c r="N8" t="s">
        <v>41</v>
      </c>
      <c r="O8" t="str">
        <f>VLOOKUP(Table182022866[[#This Row],[Film]],Oscars2017[],3,FALSE)</f>
        <v>No</v>
      </c>
    </row>
    <row r="9" spans="1:15" x14ac:dyDescent="0.25">
      <c r="A9" s="8" t="s">
        <v>53</v>
      </c>
      <c r="B9" s="6" t="s">
        <v>3</v>
      </c>
      <c r="C9" s="15" t="s">
        <v>6</v>
      </c>
      <c r="E9" t="s">
        <v>45</v>
      </c>
      <c r="F9" t="str">
        <f>VLOOKUP(Table18807[[#This Row],[Film]],Oscars2017[],3,FALSE)</f>
        <v>No</v>
      </c>
      <c r="H9" t="s">
        <v>39</v>
      </c>
      <c r="I9" s="11" t="str">
        <f>VLOOKUP(Table1820808[[#This Row],[Film]],Oscars2017[],3,FALSE)</f>
        <v>No</v>
      </c>
      <c r="K9" t="s">
        <v>44</v>
      </c>
      <c r="L9" t="str">
        <f>VLOOKUP(Table182021865[[#This Row],[Film]],Oscars2017[],3,FALSE)</f>
        <v>No</v>
      </c>
      <c r="N9" t="s">
        <v>51</v>
      </c>
      <c r="O9" s="11" t="str">
        <f>VLOOKUP(Table182022866[[#This Row],[Film]],Oscars2017[],3,FALSE)</f>
        <v>No</v>
      </c>
    </row>
    <row r="10" spans="1:15" x14ac:dyDescent="0.25">
      <c r="A10" s="8" t="s">
        <v>35</v>
      </c>
      <c r="B10" s="4" t="s">
        <v>110</v>
      </c>
      <c r="C10" s="15" t="s">
        <v>6</v>
      </c>
      <c r="E10" s="12" t="s">
        <v>41</v>
      </c>
      <c r="F10" t="str">
        <f>VLOOKUP(Table18807[[#This Row],[Film]],Oscars2017[],3,FALSE)</f>
        <v>No</v>
      </c>
      <c r="H10" t="s">
        <v>44</v>
      </c>
      <c r="I10" s="11" t="str">
        <f>VLOOKUP(Table1820808[[#This Row],[Film]],Oscars2017[],3,FALSE)</f>
        <v>No</v>
      </c>
      <c r="K10" t="s">
        <v>35</v>
      </c>
      <c r="L10" s="11" t="str">
        <f>VLOOKUP(Table182021865[[#This Row],[Film]],Oscars2017[],3,FALSE)</f>
        <v>No</v>
      </c>
      <c r="N10" t="s">
        <v>45</v>
      </c>
      <c r="O10" s="11" t="str">
        <f>VLOOKUP(Table182022866[[#This Row],[Film]],Oscars2017[],3,FALSE)</f>
        <v>No</v>
      </c>
    </row>
    <row r="11" spans="1:15" x14ac:dyDescent="0.25">
      <c r="A11" s="8" t="s">
        <v>52</v>
      </c>
      <c r="B11" s="4" t="s">
        <v>111</v>
      </c>
      <c r="C11" s="15" t="s">
        <v>6</v>
      </c>
      <c r="E11" t="s">
        <v>38</v>
      </c>
      <c r="F11" t="str">
        <f>VLOOKUP(Table18807[[#This Row],[Film]],Oscars2017[],3,FALSE)</f>
        <v>No</v>
      </c>
      <c r="H11" t="s">
        <v>8</v>
      </c>
      <c r="I11" s="9">
        <f>COUNTIF(Table1820808[Seen],"Yes")/(COUNTA(Table1820808[Seen])+COUNTBLANK(Table1820808[Seen]))</f>
        <v>0</v>
      </c>
      <c r="L11" s="9">
        <f>COUNTIF(Table182021865[Seen],"Yes")/(COUNTA(Table182021865[Seen])+COUNTBLANK(Table182021865[Seen]))</f>
        <v>0</v>
      </c>
      <c r="N11" t="s">
        <v>8</v>
      </c>
      <c r="O11" s="9">
        <f>COUNTIF(Table182022866[Seen],"Yes")/(COUNTA(Table182022866[Seen])+COUNTBLANK(Table182022866[Seen]))</f>
        <v>0</v>
      </c>
    </row>
    <row r="12" spans="1:15" x14ac:dyDescent="0.25">
      <c r="A12" s="8" t="s">
        <v>36</v>
      </c>
      <c r="B12" s="4" t="s">
        <v>111</v>
      </c>
      <c r="C12" s="15" t="s">
        <v>6</v>
      </c>
      <c r="E12" t="s">
        <v>39</v>
      </c>
      <c r="F12" t="str">
        <f>VLOOKUP(Table18807[[#This Row],[Film]],Oscars2017[],3,FALSE)</f>
        <v>No</v>
      </c>
    </row>
    <row r="13" spans="1:15" x14ac:dyDescent="0.25">
      <c r="A13" s="8" t="s">
        <v>63</v>
      </c>
      <c r="B13" s="6" t="s">
        <v>107</v>
      </c>
      <c r="C13" s="15" t="s">
        <v>6</v>
      </c>
      <c r="E13" t="s">
        <v>36</v>
      </c>
      <c r="F13" t="str">
        <f>VLOOKUP(Table18807[[#This Row],[Film]],Oscars2017[],3,FALSE)</f>
        <v>No</v>
      </c>
      <c r="H13" s="20" t="s">
        <v>12</v>
      </c>
      <c r="I13" s="20"/>
      <c r="K13" s="20" t="s">
        <v>13</v>
      </c>
      <c r="L13" s="20"/>
      <c r="N13" s="20" t="s">
        <v>16</v>
      </c>
      <c r="O13" s="20"/>
    </row>
    <row r="14" spans="1:15" x14ac:dyDescent="0.25">
      <c r="A14" s="8" t="s">
        <v>90</v>
      </c>
      <c r="B14" s="6" t="s">
        <v>107</v>
      </c>
      <c r="C14" s="15" t="s">
        <v>6</v>
      </c>
      <c r="E14" t="s">
        <v>44</v>
      </c>
      <c r="F14" s="11" t="str">
        <f>VLOOKUP(Table18807[[#This Row],[Film]],Oscars2017[],3,FALSE)</f>
        <v>No</v>
      </c>
      <c r="H14" t="s">
        <v>1</v>
      </c>
      <c r="I14" t="s">
        <v>2</v>
      </c>
      <c r="K14" t="s">
        <v>1</v>
      </c>
      <c r="L14" t="s">
        <v>2</v>
      </c>
      <c r="N14" t="s">
        <v>1</v>
      </c>
      <c r="O14" t="s">
        <v>2</v>
      </c>
    </row>
    <row r="15" spans="1:15" x14ac:dyDescent="0.25">
      <c r="A15" s="8" t="s">
        <v>37</v>
      </c>
      <c r="B15" s="4" t="s">
        <v>112</v>
      </c>
      <c r="C15" s="15" t="s">
        <v>6</v>
      </c>
      <c r="E15" t="s">
        <v>8</v>
      </c>
      <c r="F15" s="9">
        <f>COUNTIF(Table18807[Seen],"Yes")/(COUNTA(Table18807[Seen])+COUNTBLANK(Table18807[Seen]))</f>
        <v>0</v>
      </c>
      <c r="H15" s="12" t="s">
        <v>42</v>
      </c>
      <c r="I15" t="str">
        <f>VLOOKUP(Table18202123867[[#This Row],[Film]],Oscars2017[],3,FALSE)</f>
        <v>No</v>
      </c>
      <c r="K15" s="12" t="s">
        <v>51</v>
      </c>
      <c r="L15" t="str">
        <f>VLOOKUP(Table18202224868[[#This Row],[Film]],Oscars2017[],3,FALSE)</f>
        <v>No</v>
      </c>
      <c r="N15" t="s">
        <v>57</v>
      </c>
      <c r="O15" t="str">
        <f>VLOOKUP(Table1820222427871[[#This Row],[Film]],Oscars2017[],3,FALSE)</f>
        <v>No</v>
      </c>
    </row>
    <row r="16" spans="1:15" x14ac:dyDescent="0.25">
      <c r="A16" s="8" t="s">
        <v>81</v>
      </c>
      <c r="B16" s="6" t="s">
        <v>128</v>
      </c>
      <c r="C16" s="15" t="s">
        <v>6</v>
      </c>
      <c r="H16" t="s">
        <v>47</v>
      </c>
      <c r="I16" t="str">
        <f>VLOOKUP(Table18202123867[[#This Row],[Film]],Oscars2017[],3,FALSE)</f>
        <v>No</v>
      </c>
      <c r="K16" t="s">
        <v>39</v>
      </c>
      <c r="L16" t="str">
        <f>VLOOKUP(Table18202224868[[#This Row],[Film]],Oscars2017[],3,FALSE)</f>
        <v>No</v>
      </c>
      <c r="N16" t="s">
        <v>5</v>
      </c>
      <c r="O16" t="str">
        <f>VLOOKUP(Table1820222427871[[#This Row],[Film]],Oscars2017[],3,FALSE)</f>
        <v>No</v>
      </c>
    </row>
    <row r="17" spans="1:15" x14ac:dyDescent="0.25">
      <c r="A17" s="8" t="s">
        <v>82</v>
      </c>
      <c r="B17" s="4" t="s">
        <v>113</v>
      </c>
      <c r="C17" s="15" t="s">
        <v>6</v>
      </c>
      <c r="E17" s="20" t="s">
        <v>14</v>
      </c>
      <c r="F17" s="20"/>
      <c r="H17" t="s">
        <v>41</v>
      </c>
      <c r="I17" t="str">
        <f>VLOOKUP(Table18202123867[[#This Row],[Film]],Oscars2017[],3,FALSE)</f>
        <v>No</v>
      </c>
      <c r="K17" t="s">
        <v>41</v>
      </c>
      <c r="L17" t="str">
        <f>VLOOKUP(Table18202224868[[#This Row],[Film]],Oscars2017[],3,FALSE)</f>
        <v>No</v>
      </c>
      <c r="N17" s="12" t="s">
        <v>58</v>
      </c>
      <c r="O17" t="str">
        <f>VLOOKUP(Table1820222427871[[#This Row],[Film]],Oscars2017[],3,FALSE)</f>
        <v>No</v>
      </c>
    </row>
    <row r="18" spans="1:15" x14ac:dyDescent="0.25">
      <c r="A18" s="8" t="s">
        <v>55</v>
      </c>
      <c r="B18" s="4" t="s">
        <v>110</v>
      </c>
      <c r="C18" s="15" t="s">
        <v>6</v>
      </c>
      <c r="E18" t="s">
        <v>1</v>
      </c>
      <c r="F18" t="s">
        <v>2</v>
      </c>
      <c r="H18" t="s">
        <v>43</v>
      </c>
      <c r="I18" t="str">
        <f>VLOOKUP(Table18202123867[[#This Row],[Film]],Oscars2017[],3,FALSE)</f>
        <v>No</v>
      </c>
      <c r="K18" t="s">
        <v>40</v>
      </c>
      <c r="L18" t="str">
        <f>VLOOKUP(Table18202224868[[#This Row],[Film]],Oscars2017[],3,FALSE)</f>
        <v>No</v>
      </c>
      <c r="N18" t="s">
        <v>75</v>
      </c>
      <c r="O18" s="11" t="str">
        <f>VLOOKUP(Table1820222427871[[#This Row],[Film]],Oscars2017[],3,FALSE)</f>
        <v>No</v>
      </c>
    </row>
    <row r="19" spans="1:15" x14ac:dyDescent="0.25">
      <c r="A19" s="8" t="s">
        <v>65</v>
      </c>
      <c r="B19" s="6" t="s">
        <v>107</v>
      </c>
      <c r="C19" s="15" t="s">
        <v>6</v>
      </c>
      <c r="E19" t="s">
        <v>34</v>
      </c>
      <c r="F19" t="str">
        <f>VLOOKUP(Table182025869[[#This Row],[Film]],Oscars2017[],3,FALSE)</f>
        <v>No</v>
      </c>
      <c r="H19" t="s">
        <v>8</v>
      </c>
      <c r="I19" s="9">
        <f>COUNTIF(Table18202123867[Seen],"Yes")/(COUNTA(Table18202123867[Seen])+COUNTBLANK(Table18202123867[Seen]))</f>
        <v>0</v>
      </c>
      <c r="K19" t="s">
        <v>44</v>
      </c>
      <c r="L19" t="str">
        <f>VLOOKUP(Table18202224868[[#This Row],[Film]],Oscars2017[],3,FALSE)</f>
        <v>No</v>
      </c>
      <c r="N19" t="s">
        <v>76</v>
      </c>
      <c r="O19" s="11" t="str">
        <f>VLOOKUP(Table1820222427871[[#This Row],[Film]],Oscars2017[],3,FALSE)</f>
        <v>No</v>
      </c>
    </row>
    <row r="20" spans="1:15" x14ac:dyDescent="0.25">
      <c r="A20" s="8" t="s">
        <v>38</v>
      </c>
      <c r="B20" s="4" t="s">
        <v>114</v>
      </c>
      <c r="C20" s="15" t="s">
        <v>6</v>
      </c>
      <c r="E20" s="12" t="s">
        <v>38</v>
      </c>
      <c r="F20" t="str">
        <f>VLOOKUP(Table182025869[[#This Row],[Film]],Oscars2017[],3,FALSE)</f>
        <v>No</v>
      </c>
      <c r="K20" t="s">
        <v>8</v>
      </c>
      <c r="L20" s="9">
        <f>COUNTIF(Table18202224868[Seen],"Yes")/(COUNTA(Table18202224868[Seen])+COUNTBLANK(Table18202224868[Seen]))</f>
        <v>0</v>
      </c>
      <c r="N20" t="s">
        <v>8</v>
      </c>
      <c r="O20" s="9">
        <f>COUNTIF(Table1820222427871[Seen],"Yes")/(COUNTA(Table1820222427871[Seen])+COUNTBLANK(Table1820222427871[Seen]))</f>
        <v>0</v>
      </c>
    </row>
    <row r="21" spans="1:15" x14ac:dyDescent="0.25">
      <c r="A21" s="8" t="s">
        <v>73</v>
      </c>
      <c r="B21" s="6" t="s">
        <v>3</v>
      </c>
      <c r="C21" s="15" t="s">
        <v>6</v>
      </c>
      <c r="E21" t="s">
        <v>39</v>
      </c>
      <c r="F21" t="str">
        <f>VLOOKUP(Table182025869[[#This Row],[Film]],Oscars2017[],3,FALSE)</f>
        <v>No</v>
      </c>
      <c r="H21" s="20" t="s">
        <v>17</v>
      </c>
      <c r="I21" s="20"/>
    </row>
    <row r="22" spans="1:15" x14ac:dyDescent="0.25">
      <c r="A22" t="s">
        <v>77</v>
      </c>
      <c r="B22" s="4"/>
      <c r="C22" s="15" t="s">
        <v>6</v>
      </c>
      <c r="E22" t="s">
        <v>41</v>
      </c>
      <c r="F22" t="str">
        <f>VLOOKUP(Table182025869[[#This Row],[Film]],Oscars2017[],3,FALSE)</f>
        <v>No</v>
      </c>
      <c r="H22" t="s">
        <v>1</v>
      </c>
      <c r="I22" t="s">
        <v>2</v>
      </c>
      <c r="K22" s="20" t="s">
        <v>18</v>
      </c>
      <c r="L22" s="20"/>
      <c r="N22" s="20" t="s">
        <v>19</v>
      </c>
      <c r="O22" s="20"/>
    </row>
    <row r="23" spans="1:15" x14ac:dyDescent="0.25">
      <c r="A23" s="8" t="s">
        <v>80</v>
      </c>
      <c r="B23" s="6" t="s">
        <v>3</v>
      </c>
      <c r="C23" s="15" t="s">
        <v>6</v>
      </c>
      <c r="E23" t="s">
        <v>42</v>
      </c>
      <c r="F23" t="str">
        <f>VLOOKUP(Table182025869[[#This Row],[Film]],Oscars2017[],3,FALSE)</f>
        <v>No</v>
      </c>
      <c r="H23" s="12" t="s">
        <v>52</v>
      </c>
      <c r="I23" t="str">
        <f>VLOOKUP(Table1820212328872[[#This Row],[Film]],Oscars2017[],3,FALSE)</f>
        <v>No</v>
      </c>
      <c r="K23" t="s">
        <v>1</v>
      </c>
      <c r="L23" t="s">
        <v>2</v>
      </c>
      <c r="N23" t="s">
        <v>1</v>
      </c>
      <c r="O23" t="s">
        <v>2</v>
      </c>
    </row>
    <row r="24" spans="1:15" x14ac:dyDescent="0.25">
      <c r="A24" s="8" t="s">
        <v>51</v>
      </c>
      <c r="B24" s="4" t="s">
        <v>110</v>
      </c>
      <c r="C24" s="15" t="s">
        <v>6</v>
      </c>
      <c r="E24" t="s">
        <v>8</v>
      </c>
      <c r="F24" s="9">
        <f>COUNTIF(Table182025869[Seen],"Yes")/(COUNTA(Table182025869[Seen])+COUNTBLANK(Table182025869[Seen]))</f>
        <v>0</v>
      </c>
      <c r="H24" t="s">
        <v>53</v>
      </c>
      <c r="I24" t="str">
        <f>VLOOKUP(Table1820212328872[[#This Row],[Film]],Oscars2017[],3,FALSE)</f>
        <v>No</v>
      </c>
      <c r="K24" t="s">
        <v>89</v>
      </c>
      <c r="L24" t="str">
        <f>VLOOKUP(Table1820222429873[[#This Row],[Film]],Oscars2017[],3,FALSE)</f>
        <v>No</v>
      </c>
      <c r="N24" t="s">
        <v>81</v>
      </c>
      <c r="O24" t="str">
        <f>VLOOKUP(Table182022242730874[[#This Row],[Film]],Oscars2017[],3,FALSE)</f>
        <v>No</v>
      </c>
    </row>
    <row r="25" spans="1:15" x14ac:dyDescent="0.25">
      <c r="A25" s="8" t="s">
        <v>83</v>
      </c>
      <c r="B25" s="6" t="s">
        <v>3</v>
      </c>
      <c r="C25" s="15" t="s">
        <v>6</v>
      </c>
      <c r="H25" t="s">
        <v>54</v>
      </c>
      <c r="I25" t="str">
        <f>VLOOKUP(Table1820212328872[[#This Row],[Film]],Oscars2017[],3,FALSE)</f>
        <v>No</v>
      </c>
      <c r="K25" t="s">
        <v>82</v>
      </c>
      <c r="L25" t="str">
        <f>VLOOKUP(Table1820222429873[[#This Row],[Film]],Oscars2017[],3,FALSE)</f>
        <v>No</v>
      </c>
      <c r="N25" s="12" t="s">
        <v>77</v>
      </c>
      <c r="O25" t="str">
        <f>VLOOKUP(Table182022242730874[[#This Row],[Film]],Oscars2017[],3,FALSE)</f>
        <v>No</v>
      </c>
    </row>
    <row r="26" spans="1:15" x14ac:dyDescent="0.25">
      <c r="A26" s="8" t="s">
        <v>78</v>
      </c>
      <c r="B26" s="4" t="s">
        <v>126</v>
      </c>
      <c r="C26" s="15" t="s">
        <v>6</v>
      </c>
      <c r="E26" s="20" t="s">
        <v>15</v>
      </c>
      <c r="F26" s="20"/>
      <c r="H26" t="s">
        <v>55</v>
      </c>
      <c r="I26" t="str">
        <f>VLOOKUP(Table1820212328872[[#This Row],[Film]],Oscars2017[],3,FALSE)</f>
        <v>No</v>
      </c>
      <c r="K26" s="12" t="s">
        <v>83</v>
      </c>
      <c r="L26" t="str">
        <f>VLOOKUP(Table1820222429873[[#This Row],[Film]],Oscars2017[],3,FALSE)</f>
        <v>No</v>
      </c>
      <c r="N26" t="s">
        <v>80</v>
      </c>
      <c r="O26" t="str">
        <f>VLOOKUP(Table182022242730874[[#This Row],[Film]],Oscars2017[],3,FALSE)</f>
        <v>No</v>
      </c>
    </row>
    <row r="27" spans="1:15" x14ac:dyDescent="0.25">
      <c r="A27" s="8" t="s">
        <v>91</v>
      </c>
      <c r="B27" s="4" t="s">
        <v>115</v>
      </c>
      <c r="C27" s="15" t="s">
        <v>6</v>
      </c>
      <c r="E27" t="s">
        <v>1</v>
      </c>
      <c r="F27" t="s">
        <v>2</v>
      </c>
      <c r="H27" t="s">
        <v>56</v>
      </c>
      <c r="I27" t="str">
        <f>VLOOKUP(Table1820212328872[[#This Row],[Film]],Oscars2017[],3,FALSE)</f>
        <v>No</v>
      </c>
      <c r="K27" t="s">
        <v>84</v>
      </c>
      <c r="L27" t="str">
        <f>VLOOKUP(Table1820222429873[[#This Row],[Film]],Oscars2017[],3,FALSE)</f>
        <v>No</v>
      </c>
      <c r="N27" t="s">
        <v>78</v>
      </c>
      <c r="O27" t="str">
        <f>VLOOKUP(Table182022242730874[[#This Row],[Film]],Oscars2017[],3,FALSE)</f>
        <v>No</v>
      </c>
    </row>
    <row r="28" spans="1:15" x14ac:dyDescent="0.25">
      <c r="A28" s="8" t="s">
        <v>39</v>
      </c>
      <c r="B28" s="4" t="s">
        <v>113</v>
      </c>
      <c r="C28" s="15" t="s">
        <v>6</v>
      </c>
      <c r="E28" s="12" t="s">
        <v>35</v>
      </c>
      <c r="F28" t="str">
        <f>VLOOKUP(Table1820212326870[[#This Row],[Film]],Oscars2017[],3,FALSE)</f>
        <v>No</v>
      </c>
      <c r="H28" t="s">
        <v>8</v>
      </c>
      <c r="I28" s="9">
        <f>COUNTIF(Table1820212328872[Seen],"Yes")/(COUNTA(Table1820212328872[Seen])+COUNTBLANK(Table1820212328872[Seen]))</f>
        <v>0</v>
      </c>
      <c r="K28" t="s">
        <v>85</v>
      </c>
      <c r="L28" t="str">
        <f>VLOOKUP(Table1820222429873[[#This Row],[Film]],Oscars2017[],3,FALSE)</f>
        <v>No</v>
      </c>
      <c r="N28" t="s">
        <v>79</v>
      </c>
      <c r="O28" t="str">
        <f>VLOOKUP(Table182022242730874[[#This Row],[Film]],Oscars2017[],3,FALSE)</f>
        <v>No</v>
      </c>
    </row>
    <row r="29" spans="1:15" x14ac:dyDescent="0.25">
      <c r="A29" s="8" t="s">
        <v>84</v>
      </c>
      <c r="B29" s="6" t="s">
        <v>3</v>
      </c>
      <c r="C29" s="15" t="s">
        <v>6</v>
      </c>
      <c r="E29" t="s">
        <v>87</v>
      </c>
      <c r="F29" t="str">
        <f>VLOOKUP(Table1820212326870[[#This Row],[Film]],Oscars2017[],3,FALSE)</f>
        <v>No</v>
      </c>
      <c r="K29" t="s">
        <v>8</v>
      </c>
      <c r="L29" s="7">
        <f>COUNTIF(Table1820222429873[Seen],"Yes")/(COUNTA(Table1820222429873[Seen])+COUNTBLANK(Table1820222429873[Seen]))</f>
        <v>0</v>
      </c>
      <c r="N29" t="s">
        <v>8</v>
      </c>
      <c r="O29" s="7">
        <f>COUNTIF(Table182022242730874[Seen],"Yes")/(COUNTA(Table182022242730874[Seen])+COUNTBLANK(Table182022242730874[Seen]))</f>
        <v>0</v>
      </c>
    </row>
    <row r="30" spans="1:15" x14ac:dyDescent="0.25">
      <c r="A30" s="8" t="s">
        <v>88</v>
      </c>
      <c r="B30" s="4" t="s">
        <v>116</v>
      </c>
      <c r="C30" s="15" t="s">
        <v>6</v>
      </c>
      <c r="E30" t="s">
        <v>88</v>
      </c>
      <c r="F30" t="str">
        <f>VLOOKUP(Table1820212326870[[#This Row],[Film]],Oscars2017[],3,FALSE)</f>
        <v>No</v>
      </c>
      <c r="H30" s="20" t="s">
        <v>20</v>
      </c>
      <c r="I30" s="20"/>
    </row>
    <row r="31" spans="1:15" x14ac:dyDescent="0.25">
      <c r="A31" s="8" t="s">
        <v>66</v>
      </c>
      <c r="B31" s="4" t="s">
        <v>126</v>
      </c>
      <c r="C31" s="15" t="s">
        <v>6</v>
      </c>
      <c r="E31" t="s">
        <v>49</v>
      </c>
      <c r="F31" t="str">
        <f>VLOOKUP(Table1820212326870[[#This Row],[Film]],Oscars2017[],3,FALSE)</f>
        <v>No</v>
      </c>
      <c r="H31" t="s">
        <v>1</v>
      </c>
      <c r="I31" t="s">
        <v>2</v>
      </c>
      <c r="K31" s="20" t="s">
        <v>21</v>
      </c>
      <c r="L31" s="20"/>
      <c r="N31" s="20" t="s">
        <v>22</v>
      </c>
      <c r="O31" s="20"/>
    </row>
    <row r="32" spans="1:15" x14ac:dyDescent="0.25">
      <c r="A32" s="8" t="s">
        <v>57</v>
      </c>
      <c r="B32" s="4" t="s">
        <v>117</v>
      </c>
      <c r="C32" s="15" t="s">
        <v>6</v>
      </c>
      <c r="E32" t="s">
        <v>40</v>
      </c>
      <c r="F32" t="str">
        <f>VLOOKUP(Table1820212326870[[#This Row],[Film]],Oscars2017[],3,FALSE)</f>
        <v>No</v>
      </c>
      <c r="H32" s="12" t="s">
        <v>63</v>
      </c>
      <c r="I32" t="str">
        <f>VLOOKUP(Table182021232831875[[#This Row],[Film]],Oscars2017[],3,FALSE)</f>
        <v>No</v>
      </c>
      <c r="K32" t="s">
        <v>1</v>
      </c>
      <c r="L32" t="s">
        <v>2</v>
      </c>
      <c r="N32" t="s">
        <v>1</v>
      </c>
      <c r="O32" t="s">
        <v>2</v>
      </c>
    </row>
    <row r="33" spans="1:15" x14ac:dyDescent="0.25">
      <c r="A33" s="8" t="s">
        <v>56</v>
      </c>
      <c r="B33" s="4" t="s">
        <v>109</v>
      </c>
      <c r="C33" s="15" t="s">
        <v>6</v>
      </c>
      <c r="E33" t="s">
        <v>8</v>
      </c>
      <c r="F33" s="7">
        <f>COUNTIF(Table1820212326870[Seen],"Yes")/(COUNTA(Table1820212326870[Seen])+COUNTBLANK(Table1820212326870[Seen]))</f>
        <v>0</v>
      </c>
      <c r="H33" t="s">
        <v>65</v>
      </c>
      <c r="I33" t="str">
        <f>VLOOKUP(Table182021232831875[[#This Row],[Film]],Oscars2017[],3,FALSE)</f>
        <v>No</v>
      </c>
      <c r="K33" t="s">
        <v>90</v>
      </c>
      <c r="L33" t="str">
        <f>VLOOKUP(Table182022242932876[[#This Row],[Film]],Oscars2017[],3,FALSE)</f>
        <v>No</v>
      </c>
      <c r="N33" s="12" t="s">
        <v>41</v>
      </c>
      <c r="O33" t="str">
        <f>VLOOKUP(Table18202224273033877[[#This Row],[Film]],Oscars2017[],3,FALSE)</f>
        <v>No</v>
      </c>
    </row>
    <row r="34" spans="1:15" x14ac:dyDescent="0.25">
      <c r="A34" s="8" t="s">
        <v>86</v>
      </c>
      <c r="B34" s="4" t="s">
        <v>118</v>
      </c>
      <c r="C34" s="15" t="s">
        <v>6</v>
      </c>
      <c r="H34" t="s">
        <v>66</v>
      </c>
      <c r="I34" t="str">
        <f>VLOOKUP(Table182021232831875[[#This Row],[Film]],Oscars2017[],3,FALSE)</f>
        <v>No</v>
      </c>
      <c r="K34" t="s">
        <v>71</v>
      </c>
      <c r="L34" t="str">
        <f>VLOOKUP(Table182022242932876[[#This Row],[Film]],Oscars2017[],3,FALSE)</f>
        <v>No</v>
      </c>
      <c r="N34" t="s">
        <v>60</v>
      </c>
      <c r="O34" t="str">
        <f>VLOOKUP(Table18202224273033877[[#This Row],[Film]],Oscars2017[],3,FALSE)</f>
        <v>No</v>
      </c>
    </row>
    <row r="35" spans="1:15" x14ac:dyDescent="0.25">
      <c r="A35" s="8" t="s">
        <v>49</v>
      </c>
      <c r="B35" s="4" t="s">
        <v>98</v>
      </c>
      <c r="C35" s="15" t="s">
        <v>6</v>
      </c>
      <c r="E35" s="20" t="s">
        <v>23</v>
      </c>
      <c r="F35" s="20"/>
      <c r="H35" t="s">
        <v>64</v>
      </c>
      <c r="I35" t="str">
        <f>VLOOKUP(Table182021232831875[[#This Row],[Film]],Oscars2017[],3,FALSE)</f>
        <v>No</v>
      </c>
      <c r="K35" t="s">
        <v>70</v>
      </c>
      <c r="L35" t="str">
        <f>VLOOKUP(Table182022242932876[[#This Row],[Film]],Oscars2017[],3,FALSE)</f>
        <v>No</v>
      </c>
      <c r="N35" t="s">
        <v>37</v>
      </c>
      <c r="O35" t="str">
        <f>VLOOKUP(Table18202224273033877[[#This Row],[Film]],Oscars2017[],3,FALSE)</f>
        <v>No</v>
      </c>
    </row>
    <row r="36" spans="1:15" x14ac:dyDescent="0.25">
      <c r="A36" s="8" t="s">
        <v>40</v>
      </c>
      <c r="B36" s="6" t="s">
        <v>3</v>
      </c>
      <c r="C36" s="15" t="s">
        <v>6</v>
      </c>
      <c r="E36" t="s">
        <v>1</v>
      </c>
      <c r="F36" t="s">
        <v>2</v>
      </c>
      <c r="H36" t="s">
        <v>67</v>
      </c>
      <c r="I36" t="str">
        <f>VLOOKUP(Table182021232831875[[#This Row],[Film]],Oscars2017[],3,FALSE)</f>
        <v>No</v>
      </c>
      <c r="K36" s="12" t="s">
        <v>68</v>
      </c>
      <c r="L36" t="str">
        <f>VLOOKUP(Table182022242932876[[#This Row],[Film]],Oscars2017[],3,FALSE)</f>
        <v>No</v>
      </c>
      <c r="N36" t="s">
        <v>45</v>
      </c>
      <c r="O36" t="str">
        <f>VLOOKUP(Table18202224273033877[[#This Row],[Film]],Oscars2017[],3,FALSE)</f>
        <v>No</v>
      </c>
    </row>
    <row r="37" spans="1:15" x14ac:dyDescent="0.25">
      <c r="A37" s="8" t="s">
        <v>70</v>
      </c>
      <c r="B37" s="6" t="s">
        <v>107</v>
      </c>
      <c r="C37" s="15" t="s">
        <v>6</v>
      </c>
      <c r="E37" t="s">
        <v>59</v>
      </c>
      <c r="F37" t="str">
        <f>VLOOKUP(Table182021232637881[[#This Row],[Film]],Oscars2017[],3,FALSE)</f>
        <v>No</v>
      </c>
      <c r="H37" t="s">
        <v>8</v>
      </c>
      <c r="I37" s="7">
        <f>COUNTIF(Table182021232831875[Seen],"Yes")/(COUNTA(Table182021232831875[Seen])+COUNTBLANK(Table182021232831875[Seen]))</f>
        <v>0</v>
      </c>
      <c r="K37" t="s">
        <v>69</v>
      </c>
      <c r="L37" t="str">
        <f>VLOOKUP(Table182022242932876[[#This Row],[Film]],Oscars2017[],3,FALSE)</f>
        <v>No</v>
      </c>
      <c r="N37" t="s">
        <v>42</v>
      </c>
      <c r="O37" t="str">
        <f>VLOOKUP(Table18202224273033877[[#This Row],[Film]],Oscars2017[],3,FALSE)</f>
        <v>No</v>
      </c>
    </row>
    <row r="38" spans="1:15" x14ac:dyDescent="0.25">
      <c r="A38" s="8" t="s">
        <v>64</v>
      </c>
      <c r="B38" s="6" t="s">
        <v>107</v>
      </c>
      <c r="C38" s="15" t="s">
        <v>6</v>
      </c>
      <c r="E38" s="12" t="s">
        <v>52</v>
      </c>
      <c r="F38" t="str">
        <f>VLOOKUP(Table182021232637881[[#This Row],[Film]],Oscars2017[],3,FALSE)</f>
        <v>No</v>
      </c>
      <c r="K38" t="s">
        <v>8</v>
      </c>
      <c r="L38" s="7">
        <f>COUNTIF(Table182022242932876[Seen],"Yes")/(COUNTA(Table182022242932876[Seen])+COUNTBLANK(Table182022242932876[Seen]))</f>
        <v>0</v>
      </c>
      <c r="N38" t="s">
        <v>8</v>
      </c>
      <c r="O38" s="9">
        <f>COUNTIF(Table18202224273033877[Seen],"Yes")/(COUNTA(Table18202224273033877[Seen])+COUNTBLANK(Table18202224273033877[Seen]))</f>
        <v>0</v>
      </c>
    </row>
    <row r="39" spans="1:15" x14ac:dyDescent="0.25">
      <c r="A39" s="8" t="s">
        <v>76</v>
      </c>
      <c r="B39" s="6" t="s">
        <v>3</v>
      </c>
      <c r="C39" s="15" t="s">
        <v>6</v>
      </c>
      <c r="E39" t="s">
        <v>40</v>
      </c>
      <c r="F39" t="str">
        <f>VLOOKUP(Table182021232637881[[#This Row],[Film]],Oscars2017[],3,FALSE)</f>
        <v>No</v>
      </c>
      <c r="H39" s="20" t="s">
        <v>24</v>
      </c>
      <c r="I39" s="20"/>
    </row>
    <row r="40" spans="1:15" x14ac:dyDescent="0.25">
      <c r="A40" s="8" t="s">
        <v>44</v>
      </c>
      <c r="B40" s="4" t="s">
        <v>98</v>
      </c>
      <c r="C40" s="15" t="s">
        <v>6</v>
      </c>
      <c r="E40" t="s">
        <v>35</v>
      </c>
      <c r="F40" s="11" t="str">
        <f>VLOOKUP(Table182021232637881[[#This Row],[Film]],Oscars2017[],3,FALSE)</f>
        <v>No</v>
      </c>
      <c r="H40" t="s">
        <v>1</v>
      </c>
      <c r="I40" t="s">
        <v>2</v>
      </c>
      <c r="K40" s="20" t="s">
        <v>25</v>
      </c>
      <c r="L40" s="20"/>
      <c r="N40" s="20" t="s">
        <v>26</v>
      </c>
      <c r="O40" s="20"/>
    </row>
    <row r="41" spans="1:15" x14ac:dyDescent="0.25">
      <c r="A41" s="8" t="s">
        <v>67</v>
      </c>
      <c r="B41" s="6" t="s">
        <v>3</v>
      </c>
      <c r="C41" s="15" t="s">
        <v>6</v>
      </c>
      <c r="E41" t="s">
        <v>86</v>
      </c>
      <c r="F41" s="11" t="str">
        <f>VLOOKUP(Table182021232637881[[#This Row],[Film]],Oscars2017[],3,FALSE)</f>
        <v>No</v>
      </c>
      <c r="H41" t="s">
        <v>60</v>
      </c>
      <c r="I41" t="str">
        <f>VLOOKUP(Table18202123283134878[[#This Row],[Film]],Oscars2017[],3,FALSE)</f>
        <v>No</v>
      </c>
      <c r="K41" t="s">
        <v>1</v>
      </c>
      <c r="L41" t="s">
        <v>2</v>
      </c>
      <c r="N41" t="s">
        <v>1</v>
      </c>
      <c r="O41" t="s">
        <v>2</v>
      </c>
    </row>
    <row r="42" spans="1:15" x14ac:dyDescent="0.25">
      <c r="A42" s="8" t="s">
        <v>48</v>
      </c>
      <c r="B42" s="4" t="s">
        <v>119</v>
      </c>
      <c r="C42" s="15" t="s">
        <v>6</v>
      </c>
      <c r="E42" t="s">
        <v>8</v>
      </c>
      <c r="F42" s="9">
        <f>COUNTIF(Table182021232637881[Seen],"Yes")/(COUNTA(Table182021232637881[Seen])+COUNTBLANK(Table182021232637881[Seen]))</f>
        <v>0</v>
      </c>
      <c r="H42" s="12" t="s">
        <v>37</v>
      </c>
      <c r="I42" t="str">
        <f>VLOOKUP(Table18202123283134878[[#This Row],[Film]],Oscars2017[],3,FALSE)</f>
        <v>No</v>
      </c>
      <c r="K42" t="s">
        <v>60</v>
      </c>
      <c r="L42" t="str">
        <f>VLOOKUP(Table18202224293235879[[#This Row],[Film]],Oscars2017[],3,FALSE)</f>
        <v>No</v>
      </c>
      <c r="N42" s="12" t="s">
        <v>41</v>
      </c>
      <c r="O42" t="str">
        <f>VLOOKUP(Table1820222427303336880[[#This Row],[Film]],Oscars2017[],3,FALSE)</f>
        <v>No</v>
      </c>
    </row>
    <row r="43" spans="1:15" x14ac:dyDescent="0.25">
      <c r="A43" s="8" t="s">
        <v>60</v>
      </c>
      <c r="B43" s="4" t="s">
        <v>120</v>
      </c>
      <c r="C43" s="15" t="s">
        <v>6</v>
      </c>
      <c r="H43" t="s">
        <v>62</v>
      </c>
      <c r="I43" t="str">
        <f>VLOOKUP(Table18202123283134878[[#This Row],[Film]],Oscars2017[],3,FALSE)</f>
        <v>No</v>
      </c>
      <c r="K43" s="12" t="s">
        <v>37</v>
      </c>
      <c r="L43" t="str">
        <f>VLOOKUP(Table18202224293235879[[#This Row],[Film]],Oscars2017[],3,FALSE)</f>
        <v>No</v>
      </c>
      <c r="N43" t="s">
        <v>37</v>
      </c>
      <c r="O43" t="str">
        <f>VLOOKUP(Table1820222427303336880[[#This Row],[Film]],Oscars2017[],3,FALSE)</f>
        <v>No</v>
      </c>
    </row>
    <row r="44" spans="1:15" x14ac:dyDescent="0.25">
      <c r="A44" s="8" t="s">
        <v>85</v>
      </c>
      <c r="B44" s="6" t="s">
        <v>3</v>
      </c>
      <c r="C44" s="15" t="s">
        <v>6</v>
      </c>
      <c r="E44" s="20" t="s">
        <v>27</v>
      </c>
      <c r="F44" s="20"/>
      <c r="H44" t="s">
        <v>46</v>
      </c>
      <c r="I44" t="str">
        <f>VLOOKUP(Table18202123283134878[[#This Row],[Film]],Oscars2017[],3,FALSE)</f>
        <v>No</v>
      </c>
      <c r="K44" t="s">
        <v>62</v>
      </c>
      <c r="L44" t="str">
        <f>VLOOKUP(Table18202224293235879[[#This Row],[Film]],Oscars2017[],3,FALSE)</f>
        <v>No</v>
      </c>
      <c r="N44" t="s">
        <v>36</v>
      </c>
      <c r="O44" t="str">
        <f>VLOOKUP(Table1820222427303336880[[#This Row],[Film]],Oscars2017[],3,FALSE)</f>
        <v>No</v>
      </c>
    </row>
    <row r="45" spans="1:15" x14ac:dyDescent="0.25">
      <c r="A45" s="8" t="s">
        <v>34</v>
      </c>
      <c r="B45" s="6" t="s">
        <v>32</v>
      </c>
      <c r="C45" s="15" t="s">
        <v>6</v>
      </c>
      <c r="E45" t="s">
        <v>1</v>
      </c>
      <c r="F45" t="s">
        <v>2</v>
      </c>
      <c r="H45" t="s">
        <v>41</v>
      </c>
      <c r="I45" t="str">
        <f>VLOOKUP(Table18202123283134878[[#This Row],[Film]],Oscars2017[],3,FALSE)</f>
        <v>No</v>
      </c>
      <c r="K45" t="s">
        <v>46</v>
      </c>
      <c r="L45" t="str">
        <f>VLOOKUP(Table18202224293235879[[#This Row],[Film]],Oscars2017[],3,FALSE)</f>
        <v>No</v>
      </c>
      <c r="N45" t="s">
        <v>46</v>
      </c>
      <c r="O45" t="str">
        <f>VLOOKUP(Table1820222427303336880[[#This Row],[Film]],Oscars2017[],3,FALSE)</f>
        <v>No</v>
      </c>
    </row>
    <row r="46" spans="1:15" x14ac:dyDescent="0.25">
      <c r="A46" s="8" t="s">
        <v>54</v>
      </c>
      <c r="B46" s="6" t="s">
        <v>3</v>
      </c>
      <c r="C46" s="15" t="s">
        <v>6</v>
      </c>
      <c r="E46" s="12" t="s">
        <v>36</v>
      </c>
      <c r="F46" t="str">
        <f>VLOOKUP(Table18202123263738882[[#This Row],[Film]],Oscars2017[],3,FALSE)</f>
        <v>No</v>
      </c>
      <c r="H46" t="s">
        <v>8</v>
      </c>
      <c r="I46" s="10">
        <f>COUNTIF(Table18202123283134878[Seen],"Yes")/(COUNTA(Table18202123283134878[Seen])+COUNTBLANK(Table18202123283134878[Seen]))</f>
        <v>0</v>
      </c>
      <c r="K46" t="s">
        <v>41</v>
      </c>
      <c r="L46" t="str">
        <f>VLOOKUP(Table18202224293235879[[#This Row],[Film]],Oscars2017[],3,FALSE)</f>
        <v>No</v>
      </c>
      <c r="N46" t="s">
        <v>61</v>
      </c>
      <c r="O46" t="str">
        <f>VLOOKUP(Table1820222427303336880[[#This Row],[Film]],Oscars2017[],3,FALSE)</f>
        <v>No</v>
      </c>
    </row>
    <row r="47" spans="1:15" x14ac:dyDescent="0.25">
      <c r="A47" s="8" t="s">
        <v>87</v>
      </c>
      <c r="B47" s="4" t="s">
        <v>110</v>
      </c>
      <c r="C47" s="15" t="s">
        <v>6</v>
      </c>
      <c r="E47" t="s">
        <v>50</v>
      </c>
      <c r="F47" t="str">
        <f>VLOOKUP(Table18202123263738882[[#This Row],[Film]],Oscars2017[],3,FALSE)</f>
        <v>No</v>
      </c>
      <c r="K47" t="s">
        <v>8</v>
      </c>
      <c r="L47" s="10">
        <f>COUNTIF(Table18202224293235879[Seen],"Yes")/(COUNTA(Table18202224293235879[Seen])+COUNTBLANK(Table18202224293235879[Seen]))</f>
        <v>0</v>
      </c>
      <c r="N47" t="s">
        <v>8</v>
      </c>
      <c r="O47" s="7">
        <f>COUNTIF(Table1820222427303336880[Seen],"Yes")/(COUNTA(Table1820222427303336880[Seen])+COUNTBLANK(Table1820222427303336880[Seen]))</f>
        <v>0</v>
      </c>
    </row>
    <row r="48" spans="1:15" x14ac:dyDescent="0.25">
      <c r="A48" s="8" t="s">
        <v>71</v>
      </c>
      <c r="B48" s="6" t="s">
        <v>107</v>
      </c>
      <c r="C48" s="15" t="s">
        <v>6</v>
      </c>
      <c r="E48" t="s">
        <v>74</v>
      </c>
      <c r="F48" t="str">
        <f>VLOOKUP(Table18202123263738882[[#This Row],[Film]],Oscars2017[],3,FALSE)</f>
        <v>No</v>
      </c>
      <c r="H48" s="20" t="s">
        <v>28</v>
      </c>
      <c r="I48" s="20"/>
    </row>
    <row r="49" spans="1:15" x14ac:dyDescent="0.25">
      <c r="A49" s="8" t="s">
        <v>43</v>
      </c>
      <c r="B49" s="6" t="s">
        <v>32</v>
      </c>
      <c r="C49" s="15" t="s">
        <v>6</v>
      </c>
      <c r="E49" t="s">
        <v>8</v>
      </c>
      <c r="F49" s="7">
        <f>COUNTIF(Table18202123263738882[Seen],"Yes")/(COUNTA(Table18202123263738882[Seen])+COUNTBLANK(Table18202123263738882[Seen]))</f>
        <v>0</v>
      </c>
      <c r="H49" t="s">
        <v>1</v>
      </c>
      <c r="I49" t="s">
        <v>2</v>
      </c>
      <c r="K49" s="20" t="s">
        <v>29</v>
      </c>
      <c r="L49" s="20"/>
      <c r="N49" s="20" t="s">
        <v>30</v>
      </c>
      <c r="O49" s="20"/>
    </row>
    <row r="50" spans="1:15" x14ac:dyDescent="0.25">
      <c r="A50" s="8" t="s">
        <v>59</v>
      </c>
      <c r="B50" s="4" t="s">
        <v>98</v>
      </c>
      <c r="C50" s="15" t="s">
        <v>6</v>
      </c>
      <c r="H50" t="s">
        <v>37</v>
      </c>
      <c r="I50" t="str">
        <f>VLOOKUP(Table1820212328313439883[[#This Row],[Film]],Oscars2017[],3,FALSE)</f>
        <v>No</v>
      </c>
      <c r="K50" t="s">
        <v>1</v>
      </c>
      <c r="L50" t="s">
        <v>2</v>
      </c>
      <c r="N50" t="s">
        <v>1</v>
      </c>
      <c r="O50" t="s">
        <v>2</v>
      </c>
    </row>
    <row r="51" spans="1:15" x14ac:dyDescent="0.25">
      <c r="A51" s="8" t="s">
        <v>75</v>
      </c>
      <c r="B51" s="4" t="s">
        <v>121</v>
      </c>
      <c r="C51" s="15" t="s">
        <v>6</v>
      </c>
      <c r="E51" s="20" t="s">
        <v>31</v>
      </c>
      <c r="F51" s="20"/>
      <c r="H51" s="12" t="s">
        <v>46</v>
      </c>
      <c r="I51" t="str">
        <f>VLOOKUP(Table1820212328313439883[[#This Row],[Film]],Oscars2017[],3,FALSE)</f>
        <v>No</v>
      </c>
      <c r="K51" t="s">
        <v>41</v>
      </c>
      <c r="L51" t="str">
        <f>VLOOKUP(Table1820222429323540884[[#This Row],[Film]],Oscars2017[],3,FALSE)</f>
        <v>No</v>
      </c>
      <c r="N51" t="s">
        <v>42</v>
      </c>
      <c r="O51" t="str">
        <f>VLOOKUP(Table182022242730333641885[[#This Row],[Film]],Oscars2017[],3,FALSE)</f>
        <v>No</v>
      </c>
    </row>
    <row r="52" spans="1:15" x14ac:dyDescent="0.25">
      <c r="A52" s="8" t="s">
        <v>45</v>
      </c>
      <c r="B52" s="4" t="s">
        <v>122</v>
      </c>
      <c r="C52" s="15" t="s">
        <v>6</v>
      </c>
      <c r="E52" t="s">
        <v>1</v>
      </c>
      <c r="F52" t="s">
        <v>2</v>
      </c>
      <c r="H52" t="s">
        <v>36</v>
      </c>
      <c r="I52" t="str">
        <f>VLOOKUP(Table1820212328313439883[[#This Row],[Film]],Oscars2017[],3,FALSE)</f>
        <v>No</v>
      </c>
      <c r="K52" t="s">
        <v>50</v>
      </c>
      <c r="L52" t="str">
        <f>VLOOKUP(Table1820222429323540884[[#This Row],[Film]],Oscars2017[],3,FALSE)</f>
        <v>No</v>
      </c>
      <c r="N52" s="12" t="s">
        <v>37</v>
      </c>
      <c r="O52" t="str">
        <f>VLOOKUP(Table182022242730333641885[[#This Row],[Film]],Oscars2017[],3,FALSE)</f>
        <v>No</v>
      </c>
    </row>
    <row r="53" spans="1:15" x14ac:dyDescent="0.25">
      <c r="A53" s="8" t="s">
        <v>41</v>
      </c>
      <c r="B53" s="4" t="s">
        <v>110</v>
      </c>
      <c r="C53" s="15" t="s">
        <v>6</v>
      </c>
      <c r="E53" t="s">
        <v>60</v>
      </c>
      <c r="F53" t="str">
        <f>VLOOKUP(Table182021232831343942886[[#This Row],[Film]],Oscars2017[],3,FALSE)</f>
        <v>No</v>
      </c>
      <c r="H53" t="s">
        <v>40</v>
      </c>
      <c r="I53" t="str">
        <f>VLOOKUP(Table1820212328313439883[[#This Row],[Film]],Oscars2017[],3,FALSE)</f>
        <v>No</v>
      </c>
      <c r="K53" t="s">
        <v>61</v>
      </c>
      <c r="L53" t="str">
        <f>VLOOKUP(Table1820222429323540884[[#This Row],[Film]],Oscars2017[],3,FALSE)</f>
        <v>No</v>
      </c>
      <c r="N53" t="s">
        <v>62</v>
      </c>
      <c r="O53" t="str">
        <f>VLOOKUP(Table182022242730333641885[[#This Row],[Film]],Oscars2017[],3,FALSE)</f>
        <v>No</v>
      </c>
    </row>
    <row r="54" spans="1:15" x14ac:dyDescent="0.25">
      <c r="A54" s="8" t="s">
        <v>68</v>
      </c>
      <c r="B54" s="6" t="s">
        <v>107</v>
      </c>
      <c r="C54" s="15" t="s">
        <v>6</v>
      </c>
      <c r="E54" t="s">
        <v>72</v>
      </c>
      <c r="F54" t="str">
        <f>VLOOKUP(Table182021232831343942886[[#This Row],[Film]],Oscars2017[],3,FALSE)</f>
        <v>No</v>
      </c>
      <c r="H54" t="s">
        <v>41</v>
      </c>
      <c r="I54" t="str">
        <f>VLOOKUP(Table1820212328313439883[[#This Row],[Film]],Oscars2017[],3,FALSE)</f>
        <v>No</v>
      </c>
      <c r="K54" t="s">
        <v>36</v>
      </c>
      <c r="L54" t="str">
        <f>VLOOKUP(Table1820222429323540884[[#This Row],[Film]],Oscars2017[],3,FALSE)</f>
        <v>No</v>
      </c>
      <c r="N54" t="s">
        <v>51</v>
      </c>
      <c r="O54" t="str">
        <f>VLOOKUP(Table182022242730333641885[[#This Row],[Film]],Oscars2017[],3,FALSE)</f>
        <v>No</v>
      </c>
    </row>
    <row r="55" spans="1:15" x14ac:dyDescent="0.25">
      <c r="A55" s="8" t="s">
        <v>5</v>
      </c>
      <c r="B55" s="4" t="s">
        <v>123</v>
      </c>
      <c r="C55" s="15" t="s">
        <v>6</v>
      </c>
      <c r="E55" t="s">
        <v>91</v>
      </c>
      <c r="F55" t="str">
        <f>VLOOKUP(Table182021232831343942886[[#This Row],[Film]],Oscars2017[],3,FALSE)</f>
        <v>No</v>
      </c>
      <c r="H55" t="s">
        <v>8</v>
      </c>
      <c r="I55" s="7">
        <f>COUNTIF(Table1820212328313439883[Seen],"Yes")/(COUNTA(Table1820212328313439883[Seen])+COUNTBLANK(Table1820212328313439883[Seen]))</f>
        <v>0</v>
      </c>
      <c r="K55" s="12" t="s">
        <v>44</v>
      </c>
      <c r="L55" t="str">
        <f>VLOOKUP(Table1820222429323540884[[#This Row],[Film]],Oscars2017[],3,FALSE)</f>
        <v>No</v>
      </c>
      <c r="N55" t="s">
        <v>41</v>
      </c>
      <c r="O55" t="str">
        <f>VLOOKUP(Table182022242730333641885[[#This Row],[Film]],Oscars2017[],3,FALSE)</f>
        <v>No</v>
      </c>
    </row>
    <row r="56" spans="1:15" x14ac:dyDescent="0.25">
      <c r="A56" s="8" t="s">
        <v>42</v>
      </c>
      <c r="B56" s="4" t="s">
        <v>111</v>
      </c>
      <c r="C56" s="15" t="s">
        <v>6</v>
      </c>
      <c r="E56" s="12" t="s">
        <v>46</v>
      </c>
      <c r="F56" t="str">
        <f>VLOOKUP(Table182021232831343942886[[#This Row],[Film]],Oscars2017[],3,FALSE)</f>
        <v>No</v>
      </c>
      <c r="K56" t="s">
        <v>8</v>
      </c>
      <c r="L56" s="9">
        <f>COUNTIF(Table1820222429323540884[Seen],"Yes")/(COUNTA(Table1820222429323540884[Seen])+COUNTBLANK(Table1820222429323540884[Seen]))</f>
        <v>0</v>
      </c>
      <c r="N56" t="s">
        <v>8</v>
      </c>
      <c r="O56" s="10">
        <f>COUNTIF(Table182022242730333641885[Seen],"Yes")/(COUNTA(Table182022242730333641885[Seen])+COUNTBLANK(Table182022242730333641885[Seen]))</f>
        <v>0</v>
      </c>
    </row>
    <row r="57" spans="1:15" x14ac:dyDescent="0.25">
      <c r="A57" s="8" t="s">
        <v>79</v>
      </c>
      <c r="B57" s="6" t="s">
        <v>127</v>
      </c>
      <c r="C57" s="15" t="s">
        <v>6</v>
      </c>
      <c r="E57" t="s">
        <v>73</v>
      </c>
      <c r="F57" t="str">
        <f>VLOOKUP(Table182021232831343942886[[#This Row],[Film]],Oscars2017[],3,FALSE)</f>
        <v>No</v>
      </c>
    </row>
    <row r="58" spans="1:15" x14ac:dyDescent="0.25">
      <c r="A58" s="8" t="s">
        <v>50</v>
      </c>
      <c r="B58" s="4" t="s">
        <v>124</v>
      </c>
      <c r="C58" s="15" t="s">
        <v>6</v>
      </c>
      <c r="E58" t="s">
        <v>8</v>
      </c>
      <c r="F58" s="9">
        <f>COUNTIF(Table182021232831343942886[Seen],"Yes")/(COUNTA(Table182021232831343942886[Seen])+COUNTBLANK(Table182021232831343942886[Seen]))</f>
        <v>0</v>
      </c>
    </row>
    <row r="59" spans="1:15" x14ac:dyDescent="0.25">
      <c r="A59" s="8" t="s">
        <v>72</v>
      </c>
      <c r="B59" s="4" t="s">
        <v>125</v>
      </c>
      <c r="C59" s="15" t="s">
        <v>6</v>
      </c>
    </row>
    <row r="60" spans="1:15" x14ac:dyDescent="0.25">
      <c r="A60" s="8" t="s">
        <v>69</v>
      </c>
      <c r="B60" s="6" t="s">
        <v>107</v>
      </c>
      <c r="C60" s="15" t="s">
        <v>6</v>
      </c>
    </row>
    <row r="61" spans="1:15" x14ac:dyDescent="0.25">
      <c r="A61" s="8" t="s">
        <v>74</v>
      </c>
      <c r="B61" s="4" t="s">
        <v>119</v>
      </c>
      <c r="C61" s="15" t="s">
        <v>6</v>
      </c>
    </row>
    <row r="62" spans="1:15" x14ac:dyDescent="0.25">
      <c r="A62">
        <f>SUBTOTAL(103,Oscars2017[Film Title])</f>
        <v>59</v>
      </c>
      <c r="B62" s="5"/>
      <c r="C62" s="5">
        <f>COUNTIF(C3:C61,"Yes")</f>
        <v>0</v>
      </c>
    </row>
  </sheetData>
  <sheetProtection algorithmName="SHA-512" hashValue="V9WyGtprl32e/fvnQgJANfwmJzx1f6CjrEOhZtRlfRIBh2OULxAWdy3B3tPBlN++FVRd+VF3FJbpEesu+9hh2g==" saltValue="aKBJn+P3dTJZw8d7l3Bvhw==" spinCount="100000" sheet="1" objects="1" scenarios="1"/>
  <mergeCells count="25">
    <mergeCell ref="H30:I30"/>
    <mergeCell ref="K31:L31"/>
    <mergeCell ref="N31:O31"/>
    <mergeCell ref="A1:C1"/>
    <mergeCell ref="E4:F4"/>
    <mergeCell ref="H4:I4"/>
    <mergeCell ref="K4:L4"/>
    <mergeCell ref="N4:O4"/>
    <mergeCell ref="H13:I13"/>
    <mergeCell ref="K13:L13"/>
    <mergeCell ref="N13:O13"/>
    <mergeCell ref="E17:F17"/>
    <mergeCell ref="H21:I21"/>
    <mergeCell ref="K22:L22"/>
    <mergeCell ref="N22:O22"/>
    <mergeCell ref="E26:F26"/>
    <mergeCell ref="E51:F51"/>
    <mergeCell ref="E35:F35"/>
    <mergeCell ref="H39:I39"/>
    <mergeCell ref="K40:L40"/>
    <mergeCell ref="N40:O40"/>
    <mergeCell ref="E44:F44"/>
    <mergeCell ref="H48:I48"/>
    <mergeCell ref="K49:L49"/>
    <mergeCell ref="N49:O49"/>
  </mergeCells>
  <conditionalFormatting sqref="C3:C61">
    <cfRule type="cellIs" dxfId="52" priority="4" operator="equal">
      <formula>"No"</formula>
    </cfRule>
    <cfRule type="cellIs" dxfId="51" priority="5" operator="equal">
      <formula>"Yes"</formula>
    </cfRule>
  </conditionalFormatting>
  <conditionalFormatting sqref="F58 O20 I28 L20 O11 L11 I11 F42 F15 I19 F24 F33 L29 O29 O38 L38 I37 F49 I55 I46 L47 L56 O56 O47">
    <cfRule type="colorScale" priority="3">
      <colorScale>
        <cfvo type="min"/>
        <cfvo type="percentile" val="50"/>
        <cfvo type="max"/>
        <color rgb="FFF8696B"/>
        <color rgb="FFFFEB84"/>
        <color rgb="FF63BE7B"/>
      </colorScale>
    </cfRule>
  </conditionalFormatting>
  <conditionalFormatting sqref="H2 E2">
    <cfRule type="dataBar" priority="1">
      <dataBar>
        <cfvo type="num" val="0"/>
        <cfvo type="num" val="100"/>
        <color rgb="FF92D050"/>
      </dataBar>
      <extLst>
        <ext xmlns:x14="http://schemas.microsoft.com/office/spreadsheetml/2009/9/main" uri="{B025F937-C7B1-47D3-B67F-A62EFF666E3E}">
          <x14:id>{6307CC39-C410-4040-9308-858FA69BD409}</x14:id>
        </ext>
      </extLst>
    </cfRule>
  </conditionalFormatting>
  <dataValidations count="1">
    <dataValidation type="list" allowBlank="1" showInputMessage="1" showErrorMessage="1" sqref="C3:C61">
      <formula1>"Yes,No"</formula1>
    </dataValidation>
  </dataValidations>
  <hyperlinks>
    <hyperlink ref="A3" r:id="rId1"/>
    <hyperlink ref="A4" r:id="rId2"/>
    <hyperlink ref="A5" r:id="rId3"/>
    <hyperlink ref="A6" r:id="rId4"/>
    <hyperlink ref="A7" r:id="rId5"/>
    <hyperlink ref="A8" r:id="rId6"/>
    <hyperlink ref="A9" r:id="rId7"/>
    <hyperlink ref="A10" r:id="rId8"/>
    <hyperlink ref="A11" r:id="rId9"/>
    <hyperlink ref="A12" r:id="rId10"/>
    <hyperlink ref="A13" r:id="rId11"/>
    <hyperlink ref="A14" r:id="rId12"/>
    <hyperlink ref="A19" r:id="rId13"/>
    <hyperlink ref="A37" r:id="rId14"/>
    <hyperlink ref="A38" r:id="rId15"/>
    <hyperlink ref="A48" r:id="rId16"/>
    <hyperlink ref="A54" r:id="rId17"/>
    <hyperlink ref="A60" r:id="rId18"/>
    <hyperlink ref="A15" r:id="rId19"/>
    <hyperlink ref="A26" r:id="rId20"/>
    <hyperlink ref="A57" r:id="rId21"/>
    <hyperlink ref="A31" r:id="rId22"/>
    <hyperlink ref="A17" r:id="rId23"/>
    <hyperlink ref="A18" r:id="rId24"/>
    <hyperlink ref="A20" r:id="rId25"/>
    <hyperlink ref="A21" r:id="rId26"/>
    <hyperlink ref="B23" r:id="rId27"/>
    <hyperlink ref="B25" r:id="rId28"/>
    <hyperlink ref="A24" r:id="rId29"/>
    <hyperlink ref="B29" r:id="rId30"/>
    <hyperlink ref="A27" r:id="rId31"/>
    <hyperlink ref="A25" r:id="rId32"/>
    <hyperlink ref="A23" r:id="rId33"/>
    <hyperlink ref="A29" r:id="rId34"/>
    <hyperlink ref="B36" r:id="rId35"/>
    <hyperlink ref="A36" r:id="rId36"/>
    <hyperlink ref="A44" r:id="rId37"/>
    <hyperlink ref="B44" r:id="rId38"/>
    <hyperlink ref="B39" r:id="rId39"/>
    <hyperlink ref="A39" r:id="rId40"/>
    <hyperlink ref="A41" r:id="rId41"/>
    <hyperlink ref="B41" r:id="rId42"/>
    <hyperlink ref="B46" r:id="rId43"/>
    <hyperlink ref="A46" r:id="rId44"/>
    <hyperlink ref="A28" r:id="rId45"/>
    <hyperlink ref="A30" r:id="rId46"/>
    <hyperlink ref="A32" r:id="rId47"/>
    <hyperlink ref="A33" r:id="rId48"/>
    <hyperlink ref="A34" r:id="rId49"/>
    <hyperlink ref="A35" r:id="rId50"/>
    <hyperlink ref="A40" r:id="rId51"/>
    <hyperlink ref="A42" r:id="rId52"/>
    <hyperlink ref="A45" r:id="rId53"/>
    <hyperlink ref="A43" r:id="rId54"/>
    <hyperlink ref="B45" r:id="rId55"/>
    <hyperlink ref="A47" r:id="rId56"/>
    <hyperlink ref="B49" r:id="rId57"/>
    <hyperlink ref="A49" r:id="rId58"/>
    <hyperlink ref="A50" r:id="rId59"/>
    <hyperlink ref="A51" r:id="rId60"/>
    <hyperlink ref="A52" r:id="rId61"/>
    <hyperlink ref="A53" r:id="rId62"/>
    <hyperlink ref="A55" r:id="rId63"/>
    <hyperlink ref="A56" r:id="rId64"/>
    <hyperlink ref="A58" r:id="rId65"/>
    <hyperlink ref="A59" r:id="rId66"/>
    <hyperlink ref="A61" r:id="rId67"/>
    <hyperlink ref="B9" r:id="rId68"/>
    <hyperlink ref="B7" r:id="rId69"/>
    <hyperlink ref="B4" r:id="rId70"/>
    <hyperlink ref="B13" r:id="rId71"/>
    <hyperlink ref="B14" r:id="rId72"/>
    <hyperlink ref="B19" r:id="rId73"/>
    <hyperlink ref="B38" r:id="rId74"/>
    <hyperlink ref="B37" r:id="rId75"/>
    <hyperlink ref="B48" r:id="rId76"/>
    <hyperlink ref="B54" r:id="rId77"/>
    <hyperlink ref="B60" r:id="rId78"/>
    <hyperlink ref="B57" r:id="rId79"/>
    <hyperlink ref="B21" r:id="rId80"/>
    <hyperlink ref="A16" r:id="rId81"/>
    <hyperlink ref="B16" r:id="rId82"/>
  </hyperlinks>
  <pageMargins left="0.7" right="0.7" top="0.75" bottom="0.75" header="0.3" footer="0.3"/>
  <pageSetup orientation="portrait" r:id="rId83"/>
  <legacyDrawing r:id="rId84"/>
  <tableParts count="25">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s>
  <extLst>
    <ext xmlns:x14="http://schemas.microsoft.com/office/spreadsheetml/2009/9/main" uri="{78C0D931-6437-407d-A8EE-F0AAD7539E65}">
      <x14:conditionalFormattings>
        <x14:conditionalFormatting xmlns:xm="http://schemas.microsoft.com/office/excel/2006/main">
          <x14:cfRule type="dataBar" id="{6307CC39-C410-4040-9308-858FA69BD409}">
            <x14:dataBar minLength="0" maxLength="100" gradient="0">
              <x14:cfvo type="num">
                <xm:f>0</xm:f>
              </x14:cfvo>
              <x14:cfvo type="num">
                <xm:f>100</xm:f>
              </x14:cfvo>
              <x14:negativeFillColor rgb="FFFF0000"/>
              <x14:axisColor rgb="FF000000"/>
            </x14:dataBar>
          </x14:cfRule>
          <xm:sqref>H2 E2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2017 Nominees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Oscar Nominee Tracker</dc:title>
  <dc:creator>Jonathan Ytreberg</dc:creator>
  <cp:keywords>Oscars;Academy Awards</cp:keywords>
  <cp:lastModifiedBy>Jonathan Ytreberg</cp:lastModifiedBy>
  <dcterms:created xsi:type="dcterms:W3CDTF">2017-02-27T17:31:52Z</dcterms:created>
  <dcterms:modified xsi:type="dcterms:W3CDTF">2018-07-05T20:58:56Z</dcterms:modified>
</cp:coreProperties>
</file>